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BreakEven" sheetId="1" r:id="rId1"/>
  </sheets>
  <calcPr calcId="124519" fullCalcOnLoad="1"/>
</workbook>
</file>

<file path=xl/sharedStrings.xml><?xml version="1.0" encoding="utf-8"?>
<sst xmlns="http://schemas.openxmlformats.org/spreadsheetml/2006/main" count="82" uniqueCount="81">
  <si>
    <t>Milestone 2C — Break‑Even Model (DIY Dorm Repair Kit + On‑Call Student Fixers) — All formulas</t>
  </si>
  <si>
    <t>Inputs (edit these)</t>
  </si>
  <si>
    <t>Price per job (booked fixer)</t>
  </si>
  <si>
    <t>Monthly growth rate (jobs)</t>
  </si>
  <si>
    <t>First month jobs</t>
  </si>
  <si>
    <t>Student wage ($/hr)</t>
  </si>
  <si>
    <t>Average minutes per job</t>
  </si>
  <si>
    <t>Avg materials per job (anchors, screws, pads)</t>
  </si>
  <si>
    <t>Fixed Monthly Costs</t>
  </si>
  <si>
    <t>Item</t>
  </si>
  <si>
    <t>Monthly $</t>
  </si>
  <si>
    <t>App hosting &amp; tools</t>
  </si>
  <si>
    <t>Locker/Storage/Kit upkeep</t>
  </si>
  <si>
    <t>Insurance &amp; permits</t>
  </si>
  <si>
    <t>Marketing</t>
  </si>
  <si>
    <t>Admin/overhead</t>
  </si>
  <si>
    <t>Total Fixed Monthly</t>
  </si>
  <si>
    <t>Start‑up (no‑interest loan)</t>
  </si>
  <si>
    <t>Cost</t>
  </si>
  <si>
    <t>Initial toolkits (x6)</t>
  </si>
  <si>
    <t>Smart locker setup</t>
  </si>
  <si>
    <t>Basic site/app setup</t>
  </si>
  <si>
    <t>Branding/print</t>
  </si>
  <si>
    <t>Total Start‑up Cost</t>
  </si>
  <si>
    <t>Loan period (months)</t>
  </si>
  <si>
    <t>Loan payment per month</t>
  </si>
  <si>
    <t>Per‑Job Unit Costs</t>
  </si>
  <si>
    <t>Labour cost per job</t>
  </si>
  <si>
    <t>Materials per job</t>
  </si>
  <si>
    <t>Variable cost per job</t>
  </si>
  <si>
    <t>Contribution margin per job</t>
  </si>
  <si>
    <t>Final monthly cost (Fixed + Loan)</t>
  </si>
  <si>
    <t>Break‑Even Summary</t>
  </si>
  <si>
    <t>Break‑even jobs (quantity)</t>
  </si>
  <si>
    <t>Break‑even revenue</t>
  </si>
  <si>
    <t>Note</t>
  </si>
  <si>
    <t>Time to break-even is computed below by month (first month cumulative profit ≥ 0).</t>
  </si>
  <si>
    <t>Projection (at least 12 months of ops)</t>
  </si>
  <si>
    <t>Month</t>
  </si>
  <si>
    <t>Jobs</t>
  </si>
  <si>
    <t>Monthly Profit</t>
  </si>
  <si>
    <t>Cumulative Profit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</si>
  <si>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</si>
  <si>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</si>
  <si>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</si>
  <si>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</si>
  <si>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</si>
  <si>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</si>
  <si>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</si>
  <si>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</si>
  <si>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</si>
  <si>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</si>
  <si>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</si>
  <si>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</si>
  <si>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</si>
  <si>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</si>
  <si>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</si>
  <si>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</si>
  <si>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</si>
  <si>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</si>
  <si>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</si>
  <si>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</si>
  <si>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</si>
  <si>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</si>
  <si>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</si>
  <si>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</si>
  <si>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</si>
  <si>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</si>
  <si>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</si>
  <si>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</si>
  <si>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</si>
  <si>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</si>
  <si>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</si>
  <si>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</si>
  <si>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</si>
  <si>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</si>
  <si>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</si>
  <si>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</si>
  <si>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Milestones</t>
  </si>
  <si>
    <t>First month jobs ≥ BE jobs</t>
  </si>
  <si>
    <t>First month cumulative profit ≥ 0</t>
  </si>
</sst>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66666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F0D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tabSelected="1" workbookViewId="0"/>
  </sheetViews>
  <sheetFormatPr defaultRowHeight="15"/>
  <cols>
    <col min="1" max="1" width="30.7109375" customWidth="1"/>
    <col min="2" max="2" width="16.7109375" customWidth="1"/>
    <col min="4" max="4" width="30.7109375" customWidth="1"/>
    <col min="5" max="5" width="16.7109375" customWidth="1"/>
    <col min="7" max="10" width="18.7109375" customWidth="1"/>
    <col min="12" max="14" width="22.7109375" customWidth="1"/>
  </cols>
  <sheetData>
    <row r="1" spans="1:13">
      <c r="A1" t="s">
        <v>0</v>
      </c>
    </row>
    <row r="3" spans="1:13">
      <c r="A3" s="1" t="s">
        <v>1</v>
      </c>
      <c r="D3" s="1" t="s">
        <v>8</v>
      </c>
      <c r="G3" s="1" t="s">
        <v>17</v>
      </c>
      <c r="L3" s="1" t="s">
        <v>26</v>
      </c>
    </row>
    <row r="4" spans="1:13">
      <c r="A4" t="s">
        <v>2</v>
      </c>
      <c r="B4" s="2">
        <v>20</v>
      </c>
      <c r="D4" s="3" t="s">
        <v>9</v>
      </c>
      <c r="E4" s="3" t="s">
        <v>10</v>
      </c>
      <c r="G4" s="3" t="s">
        <v>9</v>
      </c>
      <c r="H4" s="3" t="s">
        <v>18</v>
      </c>
      <c r="L4" t="s">
        <v>27</v>
      </c>
      <c r="M4" s="2">
        <f>($B$7/60)*$B$8</f>
        <v>0</v>
      </c>
    </row>
    <row r="5" spans="1:13">
      <c r="A5" t="s">
        <v>3</v>
      </c>
      <c r="B5" s="4">
        <v>0.1</v>
      </c>
      <c r="D5" t="s">
        <v>11</v>
      </c>
      <c r="E5" s="2">
        <v>60</v>
      </c>
      <c r="G5" t="s">
        <v>19</v>
      </c>
      <c r="H5" s="2">
        <v>600</v>
      </c>
      <c r="L5" t="s">
        <v>28</v>
      </c>
      <c r="M5" s="2">
        <f>B9</f>
        <v>0</v>
      </c>
    </row>
    <row r="6" spans="1:13">
      <c r="A6" t="s">
        <v>4</v>
      </c>
      <c r="B6" s="5">
        <v>40</v>
      </c>
      <c r="D6" t="s">
        <v>12</v>
      </c>
      <c r="E6" s="2">
        <v>180</v>
      </c>
      <c r="G6" t="s">
        <v>20</v>
      </c>
      <c r="H6" s="2">
        <v>900</v>
      </c>
      <c r="L6" s="3" t="s">
        <v>29</v>
      </c>
      <c r="M6" s="2">
        <f>M4+M5</f>
        <v>0</v>
      </c>
    </row>
    <row r="7" spans="1:13">
      <c r="A7" t="s">
        <v>5</v>
      </c>
      <c r="B7" s="2">
        <v>18</v>
      </c>
      <c r="D7" t="s">
        <v>13</v>
      </c>
      <c r="E7" s="2">
        <v>120</v>
      </c>
      <c r="G7" t="s">
        <v>21</v>
      </c>
      <c r="H7" s="2">
        <v>500</v>
      </c>
      <c r="L7" t="s">
        <v>30</v>
      </c>
      <c r="M7" s="2">
        <f>B4-M6</f>
        <v>0</v>
      </c>
    </row>
    <row r="8" spans="1:13">
      <c r="A8" t="s">
        <v>6</v>
      </c>
      <c r="B8" s="5">
        <v>30</v>
      </c>
      <c r="D8" t="s">
        <v>14</v>
      </c>
      <c r="E8" s="2">
        <v>150</v>
      </c>
      <c r="G8" t="s">
        <v>22</v>
      </c>
      <c r="H8" s="2">
        <v>200</v>
      </c>
      <c r="L8" s="3" t="s">
        <v>31</v>
      </c>
      <c r="M8" s="2">
        <f>E11+H12</f>
        <v>0</v>
      </c>
    </row>
    <row r="9" spans="1:13">
      <c r="A9" t="s">
        <v>7</v>
      </c>
      <c r="B9" s="2">
        <v>2.5</v>
      </c>
      <c r="D9" t="s">
        <v>15</v>
      </c>
      <c r="E9" s="2">
        <v>240</v>
      </c>
    </row>
    <row r="10" spans="1:13">
      <c r="G10" s="3" t="s">
        <v>23</v>
      </c>
      <c r="H10" s="2">
        <f>SUM(H5:H8)</f>
        <v>0</v>
      </c>
    </row>
    <row r="11" spans="1:13">
      <c r="D11" s="3" t="s">
        <v>16</v>
      </c>
      <c r="E11" s="2">
        <f>SUM(E5:E10)</f>
        <v>0</v>
      </c>
      <c r="G11" t="s">
        <v>24</v>
      </c>
      <c r="H11" s="5">
        <v>24</v>
      </c>
    </row>
    <row r="12" spans="1:13">
      <c r="A12" s="1" t="s">
        <v>32</v>
      </c>
      <c r="G12" s="3" t="s">
        <v>25</v>
      </c>
      <c r="H12" s="2">
        <f>H10/H11</f>
        <v>0</v>
      </c>
    </row>
    <row r="13" spans="1:13">
      <c r="A13" s="3" t="s">
        <v>33</v>
      </c>
      <c r="B13" s="5">
        <f>ROUNDUP(M8/M7,0)</f>
        <v>0</v>
      </c>
    </row>
    <row r="14" spans="1:13">
      <c r="A14" t="s">
        <v>34</v>
      </c>
      <c r="B14" s="2">
        <f>B13*$B$4</f>
        <v>0</v>
      </c>
    </row>
    <row r="15" spans="1:13">
      <c r="A15" s="6" t="s">
        <v>35</v>
      </c>
      <c r="B15" s="6" t="s">
        <v>36</v>
      </c>
    </row>
    <row r="17" spans="1:7">
      <c r="A17" s="1" t="s">
        <v>37</v>
      </c>
    </row>
    <row r="18" spans="1:7">
      <c r="A18" s="3" t="s">
        <v>38</v>
      </c>
      <c r="B18" s="3" t="s">
        <v>39</v>
      </c>
      <c r="C18" s="3" t="s">
        <v>40</v>
      </c>
      <c r="D18" s="3" t="s">
        <v>41</v>
      </c>
      <c r="F18" s="1" t="s">
        <v>78</v>
      </c>
    </row>
    <row r="19" spans="1:7">
      <c r="A19" t="s">
        <v>42</v>
      </c>
      <c r="B19" s="5">
        <f>ROUND($B$6*(1+$B$5)^0,0)</f>
        <v>0</v>
      </c>
      <c r="C19" s="2">
        <f>B19*$M$7-$M$8</f>
        <v>0</v>
      </c>
      <c r="D19" s="2">
        <f>C19</f>
        <v>0</v>
      </c>
      <c r="F19" t="s">
        <v>79</v>
      </c>
      <c r="G19">
        <f>INDEX($A$19:$A$54, MATCH(TRUE, $B$19:$B$54&gt;=$B$13, 0))</f>
        <v>0</v>
      </c>
    </row>
    <row r="20" spans="1:7">
      <c r="A20" t="s">
        <v>43</v>
      </c>
      <c r="B20" s="5">
        <f>ROUND($B$6*(1+$B$5)^1,0)</f>
        <v>0</v>
      </c>
      <c r="C20" s="2">
        <f>B20*$M$7-$M$8</f>
        <v>0</v>
      </c>
      <c r="D20" s="2">
        <f>D19+C20</f>
        <v>0</v>
      </c>
      <c r="F20" t="s">
        <v>80</v>
      </c>
      <c r="G20">
        <f>IFERROR(INDEX($A$19:$A$54, MATCH(TRUE, $D$19:$D$54&gt;=0, 0)), "Not within 36 months")</f>
        <v>0</v>
      </c>
    </row>
    <row r="21" spans="1:7">
      <c r="A21" t="s">
        <v>44</v>
      </c>
      <c r="B21" s="5">
        <f>ROUND($B$6*(1+$B$5)^2,0)</f>
        <v>0</v>
      </c>
      <c r="C21" s="2">
        <f>B21*$M$7-$M$8</f>
        <v>0</v>
      </c>
      <c r="D21" s="2">
        <f>D20+C21</f>
        <v>0</v>
      </c>
    </row>
    <row r="22" spans="1:7">
      <c r="A22" t="s">
        <v>45</v>
      </c>
      <c r="B22" s="5">
        <f>ROUND($B$6*(1+$B$5)^3,0)</f>
        <v>0</v>
      </c>
      <c r="C22" s="2">
        <f>B22*$M$7-$M$8</f>
        <v>0</v>
      </c>
      <c r="D22" s="2">
        <f>D21+C22</f>
        <v>0</v>
      </c>
    </row>
    <row r="23" spans="1:7">
      <c r="A23" t="s">
        <v>46</v>
      </c>
      <c r="B23" s="5">
        <f>ROUND($B$6*(1+$B$5)^4,0)</f>
        <v>0</v>
      </c>
      <c r="C23" s="2">
        <f>B23*$M$7-$M$8</f>
        <v>0</v>
      </c>
      <c r="D23" s="2">
        <f>D22+C23</f>
        <v>0</v>
      </c>
    </row>
    <row r="24" spans="1:7">
      <c r="A24" t="s">
        <v>47</v>
      </c>
      <c r="B24" s="5">
        <f>ROUND($B$6*(1+$B$5)^5,0)</f>
        <v>0</v>
      </c>
      <c r="C24" s="2">
        <f>B24*$M$7-$M$8</f>
        <v>0</v>
      </c>
      <c r="D24" s="2">
        <f>D23+C24</f>
        <v>0</v>
      </c>
    </row>
    <row r="25" spans="1:7">
      <c r="A25" t="s">
        <v>48</v>
      </c>
      <c r="B25" s="5">
        <f>ROUND($B$6*(1+$B$5)^6,0)</f>
        <v>0</v>
      </c>
      <c r="C25" s="2">
        <f>B25*$M$7-$M$8</f>
        <v>0</v>
      </c>
      <c r="D25" s="2">
        <f>D24+C25</f>
        <v>0</v>
      </c>
    </row>
    <row r="26" spans="1:7">
      <c r="A26" t="s">
        <v>49</v>
      </c>
      <c r="B26" s="5">
        <f>ROUND($B$6*(1+$B$5)^7,0)</f>
        <v>0</v>
      </c>
      <c r="C26" s="2">
        <f>B26*$M$7-$M$8</f>
        <v>0</v>
      </c>
      <c r="D26" s="2">
        <f>D25+C26</f>
        <v>0</v>
      </c>
    </row>
    <row r="27" spans="1:7">
      <c r="A27" t="s">
        <v>50</v>
      </c>
      <c r="B27" s="5">
        <f>ROUND($B$6*(1+$B$5)^8,0)</f>
        <v>0</v>
      </c>
      <c r="C27" s="2">
        <f>B27*$M$7-$M$8</f>
        <v>0</v>
      </c>
      <c r="D27" s="2">
        <f>D26+C27</f>
        <v>0</v>
      </c>
    </row>
    <row r="28" spans="1:7">
      <c r="A28" t="s">
        <v>51</v>
      </c>
      <c r="B28" s="5">
        <f>ROUND($B$6*(1+$B$5)^9,0)</f>
        <v>0</v>
      </c>
      <c r="C28" s="2">
        <f>B28*$M$7-$M$8</f>
        <v>0</v>
      </c>
      <c r="D28" s="2">
        <f>D27+C28</f>
        <v>0</v>
      </c>
    </row>
    <row r="29" spans="1:7">
      <c r="A29" t="s">
        <v>52</v>
      </c>
      <c r="B29" s="5">
        <f>ROUND($B$6*(1+$B$5)^10,0)</f>
        <v>0</v>
      </c>
      <c r="C29" s="2">
        <f>B29*$M$7-$M$8</f>
        <v>0</v>
      </c>
      <c r="D29" s="2">
        <f>D28+C29</f>
        <v>0</v>
      </c>
    </row>
    <row r="30" spans="1:7">
      <c r="A30" t="s">
        <v>53</v>
      </c>
      <c r="B30" s="5">
        <f>ROUND($B$6*(1+$B$5)^11,0)</f>
        <v>0</v>
      </c>
      <c r="C30" s="2">
        <f>B30*$M$7-$M$8</f>
        <v>0</v>
      </c>
      <c r="D30" s="2">
        <f>D29+C30</f>
        <v>0</v>
      </c>
    </row>
    <row r="31" spans="1:7">
      <c r="A31" t="s">
        <v>54</v>
      </c>
      <c r="B31" s="5">
        <f>ROUND($B$6*(1+$B$5)^12,0)</f>
        <v>0</v>
      </c>
      <c r="C31" s="2">
        <f>B31*$M$7-$M$8</f>
        <v>0</v>
      </c>
      <c r="D31" s="2">
        <f>D30+C31</f>
        <v>0</v>
      </c>
    </row>
    <row r="32" spans="1:7">
      <c r="A32" t="s">
        <v>55</v>
      </c>
      <c r="B32" s="5">
        <f>ROUND($B$6*(1+$B$5)^13,0)</f>
        <v>0</v>
      </c>
      <c r="C32" s="2">
        <f>B32*$M$7-$M$8</f>
        <v>0</v>
      </c>
      <c r="D32" s="2">
        <f>D31+C32</f>
        <v>0</v>
      </c>
    </row>
    <row r="33" spans="1:4">
      <c r="A33" t="s">
        <v>56</v>
      </c>
      <c r="B33" s="5">
        <f>ROUND($B$6*(1+$B$5)^14,0)</f>
        <v>0</v>
      </c>
      <c r="C33" s="2">
        <f>B33*$M$7-$M$8</f>
        <v>0</v>
      </c>
      <c r="D33" s="2">
        <f>D32+C33</f>
        <v>0</v>
      </c>
    </row>
    <row r="34" spans="1:4">
      <c r="A34" t="s">
        <v>57</v>
      </c>
      <c r="B34" s="5">
        <f>ROUND($B$6*(1+$B$5)^15,0)</f>
        <v>0</v>
      </c>
      <c r="C34" s="2">
        <f>B34*$M$7-$M$8</f>
        <v>0</v>
      </c>
      <c r="D34" s="2">
        <f>D33+C34</f>
        <v>0</v>
      </c>
    </row>
    <row r="35" spans="1:4">
      <c r="A35" t="s">
        <v>58</v>
      </c>
      <c r="B35" s="5">
        <f>ROUND($B$6*(1+$B$5)^16,0)</f>
        <v>0</v>
      </c>
      <c r="C35" s="2">
        <f>B35*$M$7-$M$8</f>
        <v>0</v>
      </c>
      <c r="D35" s="2">
        <f>D34+C35</f>
        <v>0</v>
      </c>
    </row>
    <row r="36" spans="1:4">
      <c r="A36" t="s">
        <v>59</v>
      </c>
      <c r="B36" s="5">
        <f>ROUND($B$6*(1+$B$5)^17,0)</f>
        <v>0</v>
      </c>
      <c r="C36" s="2">
        <f>B36*$M$7-$M$8</f>
        <v>0</v>
      </c>
      <c r="D36" s="2">
        <f>D35+C36</f>
        <v>0</v>
      </c>
    </row>
    <row r="37" spans="1:4">
      <c r="A37" t="s">
        <v>60</v>
      </c>
      <c r="B37" s="5">
        <f>ROUND($B$6*(1+$B$5)^18,0)</f>
        <v>0</v>
      </c>
      <c r="C37" s="2">
        <f>B37*$M$7-$M$8</f>
        <v>0</v>
      </c>
      <c r="D37" s="2">
        <f>D36+C37</f>
        <v>0</v>
      </c>
    </row>
    <row r="38" spans="1:4">
      <c r="A38" t="s">
        <v>61</v>
      </c>
      <c r="B38" s="5">
        <f>ROUND($B$6*(1+$B$5)^19,0)</f>
        <v>0</v>
      </c>
      <c r="C38" s="2">
        <f>B38*$M$7-$M$8</f>
        <v>0</v>
      </c>
      <c r="D38" s="2">
        <f>D37+C38</f>
        <v>0</v>
      </c>
    </row>
    <row r="39" spans="1:4">
      <c r="A39" t="s">
        <v>62</v>
      </c>
      <c r="B39" s="5">
        <f>ROUND($B$6*(1+$B$5)^20,0)</f>
        <v>0</v>
      </c>
      <c r="C39" s="2">
        <f>B39*$M$7-$M$8</f>
        <v>0</v>
      </c>
      <c r="D39" s="2">
        <f>D38+C39</f>
        <v>0</v>
      </c>
    </row>
    <row r="40" spans="1:4">
      <c r="A40" t="s">
        <v>63</v>
      </c>
      <c r="B40" s="5">
        <f>ROUND($B$6*(1+$B$5)^21,0)</f>
        <v>0</v>
      </c>
      <c r="C40" s="2">
        <f>B40*$M$7-$M$8</f>
        <v>0</v>
      </c>
      <c r="D40" s="2">
        <f>D39+C40</f>
        <v>0</v>
      </c>
    </row>
    <row r="41" spans="1:4">
      <c r="A41" t="s">
        <v>64</v>
      </c>
      <c r="B41" s="5">
        <f>ROUND($B$6*(1+$B$5)^22,0)</f>
        <v>0</v>
      </c>
      <c r="C41" s="2">
        <f>B41*$M$7-$M$8</f>
        <v>0</v>
      </c>
      <c r="D41" s="2">
        <f>D40+C41</f>
        <v>0</v>
      </c>
    </row>
    <row r="42" spans="1:4">
      <c r="A42" t="s">
        <v>65</v>
      </c>
      <c r="B42" s="5">
        <f>ROUND($B$6*(1+$B$5)^23,0)</f>
        <v>0</v>
      </c>
      <c r="C42" s="2">
        <f>B42*$M$7-$M$8</f>
        <v>0</v>
      </c>
      <c r="D42" s="2">
        <f>D41+C42</f>
        <v>0</v>
      </c>
    </row>
    <row r="43" spans="1:4">
      <c r="A43" t="s">
        <v>66</v>
      </c>
      <c r="B43" s="5">
        <f>ROUND($B$6*(1+$B$5)^24,0)</f>
        <v>0</v>
      </c>
      <c r="C43" s="2">
        <f>B43*$M$7-$M$8</f>
        <v>0</v>
      </c>
      <c r="D43" s="2">
        <f>D42+C43</f>
        <v>0</v>
      </c>
    </row>
    <row r="44" spans="1:4">
      <c r="A44" t="s">
        <v>67</v>
      </c>
      <c r="B44" s="5">
        <f>ROUND($B$6*(1+$B$5)^25,0)</f>
        <v>0</v>
      </c>
      <c r="C44" s="2">
        <f>B44*$M$7-$M$8</f>
        <v>0</v>
      </c>
      <c r="D44" s="2">
        <f>D43+C44</f>
        <v>0</v>
      </c>
    </row>
    <row r="45" spans="1:4">
      <c r="A45" t="s">
        <v>68</v>
      </c>
      <c r="B45" s="5">
        <f>ROUND($B$6*(1+$B$5)^26,0)</f>
        <v>0</v>
      </c>
      <c r="C45" s="2">
        <f>B45*$M$7-$M$8</f>
        <v>0</v>
      </c>
      <c r="D45" s="2">
        <f>D44+C45</f>
        <v>0</v>
      </c>
    </row>
    <row r="46" spans="1:4">
      <c r="A46" t="s">
        <v>69</v>
      </c>
      <c r="B46" s="5">
        <f>ROUND($B$6*(1+$B$5)^27,0)</f>
        <v>0</v>
      </c>
      <c r="C46" s="2">
        <f>B46*$M$7-$M$8</f>
        <v>0</v>
      </c>
      <c r="D46" s="2">
        <f>D45+C46</f>
        <v>0</v>
      </c>
    </row>
    <row r="47" spans="1:4">
      <c r="A47" t="s">
        <v>70</v>
      </c>
      <c r="B47" s="5">
        <f>ROUND($B$6*(1+$B$5)^28,0)</f>
        <v>0</v>
      </c>
      <c r="C47" s="2">
        <f>B47*$M$7-$M$8</f>
        <v>0</v>
      </c>
      <c r="D47" s="2">
        <f>D46+C47</f>
        <v>0</v>
      </c>
    </row>
    <row r="48" spans="1:4">
      <c r="A48" t="s">
        <v>71</v>
      </c>
      <c r="B48" s="5">
        <f>ROUND($B$6*(1+$B$5)^29,0)</f>
        <v>0</v>
      </c>
      <c r="C48" s="2">
        <f>B48*$M$7-$M$8</f>
        <v>0</v>
      </c>
      <c r="D48" s="2">
        <f>D47+C48</f>
        <v>0</v>
      </c>
    </row>
    <row r="49" spans="1:4">
      <c r="A49" t="s">
        <v>72</v>
      </c>
      <c r="B49" s="5">
        <f>ROUND($B$6*(1+$B$5)^30,0)</f>
        <v>0</v>
      </c>
      <c r="C49" s="2">
        <f>B49*$M$7-$M$8</f>
        <v>0</v>
      </c>
      <c r="D49" s="2">
        <f>D48+C49</f>
        <v>0</v>
      </c>
    </row>
    <row r="50" spans="1:4">
      <c r="A50" t="s">
        <v>73</v>
      </c>
      <c r="B50" s="5">
        <f>ROUND($B$6*(1+$B$5)^31,0)</f>
        <v>0</v>
      </c>
      <c r="C50" s="2">
        <f>B50*$M$7-$M$8</f>
        <v>0</v>
      </c>
      <c r="D50" s="2">
        <f>D49+C50</f>
        <v>0</v>
      </c>
    </row>
    <row r="51" spans="1:4">
      <c r="A51" t="s">
        <v>74</v>
      </c>
      <c r="B51" s="5">
        <f>ROUND($B$6*(1+$B$5)^32,0)</f>
        <v>0</v>
      </c>
      <c r="C51" s="2">
        <f>B51*$M$7-$M$8</f>
        <v>0</v>
      </c>
      <c r="D51" s="2">
        <f>D50+C51</f>
        <v>0</v>
      </c>
    </row>
    <row r="52" spans="1:4">
      <c r="A52" t="s">
        <v>75</v>
      </c>
      <c r="B52" s="5">
        <f>ROUND($B$6*(1+$B$5)^33,0)</f>
        <v>0</v>
      </c>
      <c r="C52" s="2">
        <f>B52*$M$7-$M$8</f>
        <v>0</v>
      </c>
      <c r="D52" s="2">
        <f>D51+C52</f>
        <v>0</v>
      </c>
    </row>
    <row r="53" spans="1:4">
      <c r="A53" t="s">
        <v>76</v>
      </c>
      <c r="B53" s="5">
        <f>ROUND($B$6*(1+$B$5)^34,0)</f>
        <v>0</v>
      </c>
      <c r="C53" s="2">
        <f>B53*$M$7-$M$8</f>
        <v>0</v>
      </c>
      <c r="D53" s="2">
        <f>D52+C53</f>
        <v>0</v>
      </c>
    </row>
    <row r="54" spans="1:4">
      <c r="A54" t="s">
        <v>77</v>
      </c>
      <c r="B54" s="5">
        <f>ROUND($B$6*(1+$B$5)^35,0)</f>
        <v>0</v>
      </c>
      <c r="C54" s="2">
        <f>B54*$M$7-$M$8</f>
        <v>0</v>
      </c>
      <c r="D54" s="2">
        <f>D53+C54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BreakEven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2025-11-21T14:43:24Z</dcterms:created>
  <dcterms:modified xsi:type="dcterms:W3CDTF">2025-11-21T14:43:24Z</dcterms:modified>
</cp:coreProperties>
</file>