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ose\Downloads\"/>
    </mc:Choice>
  </mc:AlternateContent>
  <xr:revisionPtr revIDLastSave="0" documentId="13_ncr:1_{FEE0ADE5-035E-4987-B896-8CFD5558488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reakEv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B36" i="1"/>
  <c r="B37" i="1"/>
  <c r="B38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E11" i="1"/>
  <c r="H10" i="1"/>
  <c r="H12" i="1" s="1"/>
  <c r="M5" i="1"/>
  <c r="M4" i="1"/>
  <c r="M6" i="1" s="1"/>
  <c r="M7" i="1" s="1"/>
  <c r="M8" i="1" l="1"/>
  <c r="C37" i="1" s="1"/>
  <c r="C38" i="1" l="1"/>
  <c r="B13" i="1"/>
  <c r="B14" i="1" s="1"/>
  <c r="C36" i="1"/>
  <c r="C28" i="1"/>
  <c r="C25" i="1"/>
  <c r="C22" i="1"/>
  <c r="C24" i="1"/>
  <c r="C26" i="1"/>
  <c r="C30" i="1"/>
  <c r="C27" i="1"/>
  <c r="C32" i="1"/>
  <c r="C31" i="1"/>
  <c r="C29" i="1"/>
  <c r="C20" i="1"/>
  <c r="C21" i="1"/>
  <c r="C35" i="1"/>
  <c r="C19" i="1"/>
  <c r="D19" i="1" s="1"/>
  <c r="C34" i="1"/>
  <c r="C33" i="1"/>
  <c r="C23" i="1"/>
  <c r="D20" i="1" l="1"/>
  <c r="D21" i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</calcChain>
</file>

<file path=xl/sharedStrings.xml><?xml version="1.0" encoding="utf-8"?>
<sst xmlns="http://schemas.openxmlformats.org/spreadsheetml/2006/main" count="49" uniqueCount="48">
  <si>
    <t>Price per job (booked fixer)</t>
  </si>
  <si>
    <t>Monthly growth rate (jobs)</t>
  </si>
  <si>
    <t>First month jobs</t>
  </si>
  <si>
    <t>Student wage ($/hr)</t>
  </si>
  <si>
    <t>Average minutes per job</t>
  </si>
  <si>
    <t>Avg materials per job (anchors, screws, pads)</t>
  </si>
  <si>
    <t>Fixed Monthly Costs</t>
  </si>
  <si>
    <t>Item</t>
  </si>
  <si>
    <t>Monthly $</t>
  </si>
  <si>
    <t>App hosting &amp; tools</t>
  </si>
  <si>
    <t>Locker/Storage/Kit upkeep</t>
  </si>
  <si>
    <t>Insurance &amp; permits</t>
  </si>
  <si>
    <t>Marketing</t>
  </si>
  <si>
    <t>Admin/overhead</t>
  </si>
  <si>
    <t>Total Fixed Monthly</t>
  </si>
  <si>
    <t>Start‑up (no‑interest loan)</t>
  </si>
  <si>
    <t>Cost</t>
  </si>
  <si>
    <t>Initial toolkits (x6)</t>
  </si>
  <si>
    <t>Smart locker setup</t>
  </si>
  <si>
    <t>Basic site/app setup</t>
  </si>
  <si>
    <t>Branding/print</t>
  </si>
  <si>
    <t>Total Start‑up Cost</t>
  </si>
  <si>
    <t>Loan period (months)</t>
  </si>
  <si>
    <t>Loan payment per month</t>
  </si>
  <si>
    <t>Per‑Job Unit Costs</t>
  </si>
  <si>
    <t>Labour cost per job</t>
  </si>
  <si>
    <t>Materials per job</t>
  </si>
  <si>
    <t>Variable cost per job</t>
  </si>
  <si>
    <t>Contribution margin per job</t>
  </si>
  <si>
    <t>Final monthly cost (Fixed + Loan)</t>
  </si>
  <si>
    <t>Break‑Even Summary</t>
  </si>
  <si>
    <t>Break‑even jobs (quantity)</t>
  </si>
  <si>
    <t>Break‑even revenue</t>
  </si>
  <si>
    <t>Month</t>
  </si>
  <si>
    <t>Jobs</t>
  </si>
  <si>
    <t>Monthly Profit</t>
  </si>
  <si>
    <t>Cumulative Profit</t>
  </si>
  <si>
    <t>Month 9</t>
  </si>
  <si>
    <t>Month 15</t>
  </si>
  <si>
    <t>Milestones</t>
  </si>
  <si>
    <t>First month jobs ≥ BE jobs</t>
  </si>
  <si>
    <t>First month cumulative profit ≥ 0</t>
  </si>
  <si>
    <t xml:space="preserve">Milestone 2 C Break‑Even Model (DIY Dorm Repair Kit + On‑Call Student Fixers) </t>
  </si>
  <si>
    <t>Inputs</t>
  </si>
  <si>
    <t>Projection</t>
  </si>
  <si>
    <t>Units (jobs)</t>
  </si>
  <si>
    <t>Total Revenue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</si>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</sst>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6666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F0D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1" fontId="0" fillId="0" borderId="0" xfId="0" applyNumberFormat="1"/>
    <xf numFmtId="0" fontId="2" fillId="0" borderId="0" xfId="0" applyFont="1"/>
    <xf numFmtId="1" fontId="0" fillId="3" borderId="0" xfId="0" applyNumberFormat="1" applyFill="1"/>
    <xf numFmtId="164" fontId="0" fillId="3" borderId="0" xfId="0" applyNumberFormat="1" applyFill="1"/>
    <xf numFmtId="1" fontId="0" fillId="4" borderId="0" xfId="0" applyNumberFormat="1" applyFill="1"/>
    <xf numFmtId="164" fontId="0" fillId="4" borderId="0" xfId="0" applyNumberFormat="1" applyFill="1"/>
    <xf numFmtId="0" fontId="0" fillId="0" borderId="0" xfId="0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Breakeven CVP</a:t>
            </a:r>
            <a:r>
              <a:rPr lang="en-US" b="1" baseline="0"/>
              <a:t> Chart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BreakEven!$N$18</c:f>
              <c:strCache>
                <c:ptCount val="1"/>
                <c:pt idx="0">
                  <c:v>Total Revenue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BreakEven!$M$19:$M$29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xVal>
          <c:yVal>
            <c:numRef>
              <c:f>BreakEven!$N$19:$N$29</c:f>
              <c:numCache>
                <c:formatCode>General</c:formatCode>
                <c:ptCount val="11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  <c:pt idx="10">
                  <c:v>4000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AC-4D89-ABF3-6CE436BC6AC1}"/>
            </c:ext>
          </c:extLst>
        </c:ser>
        <c:ser>
          <c:idx val="1"/>
          <c:order val="1"/>
          <c:tx>
            <c:strRef>
              <c:f>BreakEven!$O$18</c:f>
              <c:strCache>
                <c:ptCount val="1"/>
                <c:pt idx="0">
                  <c:v>Total Cost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BreakEven!$M$19:$M$29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xVal>
          <c:yVal>
            <c:numRef>
              <c:f>BreakEven!$O$19:$O$29</c:f>
              <c:numCache>
                <c:formatCode>General</c:formatCode>
                <c:ptCount val="11"/>
                <c:pt idx="0">
                  <c:v>701.66666666666663</c:v>
                </c:pt>
                <c:pt idx="1">
                  <c:v>931.66666666666663</c:v>
                </c:pt>
                <c:pt idx="2">
                  <c:v>1161.6666666666665</c:v>
                </c:pt>
                <c:pt idx="3">
                  <c:v>1391.6666666666665</c:v>
                </c:pt>
                <c:pt idx="4">
                  <c:v>1621.6666666666665</c:v>
                </c:pt>
                <c:pt idx="5">
                  <c:v>1851.6666666666665</c:v>
                </c:pt>
                <c:pt idx="6">
                  <c:v>2081.6666666666665</c:v>
                </c:pt>
                <c:pt idx="7">
                  <c:v>2311.6666666666665</c:v>
                </c:pt>
                <c:pt idx="8">
                  <c:v>2541.6666666666665</c:v>
                </c:pt>
                <c:pt idx="9">
                  <c:v>2771.6666666666665</c:v>
                </c:pt>
                <c:pt idx="10">
                  <c:v>3001.6666666666665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AC-4D89-ABF3-6CE436BC6AC1}"/>
            </c:ext>
          </c:extLst>
        </c:ser>
        <c:ser>
          <c:idx val="2"/>
          <c:order val="2"/>
          <c:tx>
            <c:v>Break Even</c:v>
          </c:tx>
          <c:spPr>
            <a:ln w="34925" cap="rnd">
              <a:noFill/>
              <a:round/>
            </a:ln>
            <a:effectLst/>
          </c:spPr>
          <c:marker>
            <c:symbol val="star"/>
            <c:size val="14"/>
            <c:spPr>
              <a:noFill/>
              <a:ln w="19050">
                <a:solidFill>
                  <a:schemeClr val="accent3">
                    <a:alpha val="65000"/>
                  </a:schemeClr>
                </a:solidFill>
              </a:ln>
              <a:effectLst/>
            </c:spPr>
          </c:marker>
          <c:xVal>
            <c:numRef>
              <c:f>BreakEven!$B$13</c:f>
              <c:numCache>
                <c:formatCode>0</c:formatCode>
                <c:ptCount val="1"/>
                <c:pt idx="0">
                  <c:v>83</c:v>
                </c:pt>
              </c:numCache>
            </c:numRef>
          </c:xVal>
          <c:yVal>
            <c:numRef>
              <c:f>BreakEven!$B$14</c:f>
              <c:numCache>
                <c:formatCode>\$#,##0.00</c:formatCode>
                <c:ptCount val="1"/>
                <c:pt idx="0">
                  <c:v>1660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1AC-4D89-ABF3-6CE436BC6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1317168"/>
        <c:axId val="1161320528"/>
      </c:scatterChart>
      <c:valAx>
        <c:axId val="116131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Jobs per</a:t>
                </a:r>
                <a:r>
                  <a:rPr lang="en-US" baseline="0"/>
                  <a:t> 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320528"/>
        <c:crosses val="autoZero"/>
        <c:crossBetween val="midCat"/>
      </c:valAx>
      <c:valAx>
        <c:axId val="116132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 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317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Projection - </a:t>
            </a:r>
            <a:r>
              <a:rPr lang="en-US" sz="1600" b="1" i="0" u="none" strike="noStrike" cap="all" normalizeH="0" baseline="0"/>
              <a:t>Jobs &amp; Profit over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BreakEven!$C$18</c:f>
              <c:strCache>
                <c:ptCount val="1"/>
                <c:pt idx="0">
                  <c:v>Monthly Profit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BreakEven!$A$19:$A$38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BreakEven!$C$19:$C$38</c:f>
              <c:numCache>
                <c:formatCode>\$#,##0.00</c:formatCode>
                <c:ptCount val="20"/>
                <c:pt idx="0">
                  <c:v>-361.66666666666663</c:v>
                </c:pt>
                <c:pt idx="1">
                  <c:v>-327.66666666666663</c:v>
                </c:pt>
                <c:pt idx="2">
                  <c:v>-293.66666666666663</c:v>
                </c:pt>
                <c:pt idx="3">
                  <c:v>-251.16666666666663</c:v>
                </c:pt>
                <c:pt idx="4">
                  <c:v>-200.16666666666663</c:v>
                </c:pt>
                <c:pt idx="5">
                  <c:v>-157.66666666666663</c:v>
                </c:pt>
                <c:pt idx="6">
                  <c:v>-98.166666666666629</c:v>
                </c:pt>
                <c:pt idx="7">
                  <c:v>-38.666666666666629</c:v>
                </c:pt>
                <c:pt idx="8">
                  <c:v>29.333333333333371</c:v>
                </c:pt>
                <c:pt idx="9">
                  <c:v>97.333333333333371</c:v>
                </c:pt>
                <c:pt idx="10">
                  <c:v>182.33333333333337</c:v>
                </c:pt>
                <c:pt idx="11">
                  <c:v>267.33333333333337</c:v>
                </c:pt>
                <c:pt idx="12">
                  <c:v>369.33333333333337</c:v>
                </c:pt>
                <c:pt idx="13">
                  <c:v>471.33333333333337</c:v>
                </c:pt>
                <c:pt idx="14">
                  <c:v>590.33333333333337</c:v>
                </c:pt>
                <c:pt idx="15">
                  <c:v>717.83333333333337</c:v>
                </c:pt>
                <c:pt idx="16">
                  <c:v>862.33333333333337</c:v>
                </c:pt>
                <c:pt idx="17">
                  <c:v>1015.3333333333334</c:v>
                </c:pt>
                <c:pt idx="18">
                  <c:v>1185.3333333333335</c:v>
                </c:pt>
                <c:pt idx="19">
                  <c:v>1380.8333333333335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D3-4B6A-ADAF-3F2A0CCB5BD7}"/>
            </c:ext>
          </c:extLst>
        </c:ser>
        <c:ser>
          <c:idx val="2"/>
          <c:order val="2"/>
          <c:tx>
            <c:strRef>
              <c:f>BreakEven!$D$18</c:f>
              <c:strCache>
                <c:ptCount val="1"/>
                <c:pt idx="0">
                  <c:v>Cumulative Profit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BreakEven!$A$19:$A$38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BreakEven!$D$19:$D$38</c:f>
              <c:numCache>
                <c:formatCode>\$#,##0.00</c:formatCode>
                <c:ptCount val="20"/>
                <c:pt idx="0">
                  <c:v>-361.66666666666663</c:v>
                </c:pt>
                <c:pt idx="1">
                  <c:v>-689.33333333333326</c:v>
                </c:pt>
                <c:pt idx="2">
                  <c:v>-982.99999999999989</c:v>
                </c:pt>
                <c:pt idx="3">
                  <c:v>-1234.1666666666665</c:v>
                </c:pt>
                <c:pt idx="4">
                  <c:v>-1434.333333333333</c:v>
                </c:pt>
                <c:pt idx="5">
                  <c:v>-1591.9999999999995</c:v>
                </c:pt>
                <c:pt idx="6">
                  <c:v>-1690.1666666666661</c:v>
                </c:pt>
                <c:pt idx="7">
                  <c:v>-1728.8333333333326</c:v>
                </c:pt>
                <c:pt idx="8">
                  <c:v>-1699.4999999999991</c:v>
                </c:pt>
                <c:pt idx="9">
                  <c:v>-1602.1666666666656</c:v>
                </c:pt>
                <c:pt idx="10">
                  <c:v>-1419.8333333333321</c:v>
                </c:pt>
                <c:pt idx="11">
                  <c:v>-1152.4999999999986</c:v>
                </c:pt>
                <c:pt idx="12">
                  <c:v>-783.16666666666526</c:v>
                </c:pt>
                <c:pt idx="13">
                  <c:v>-311.83333333333189</c:v>
                </c:pt>
                <c:pt idx="14">
                  <c:v>278.50000000000148</c:v>
                </c:pt>
                <c:pt idx="15">
                  <c:v>996.33333333333485</c:v>
                </c:pt>
                <c:pt idx="16">
                  <c:v>1858.6666666666683</c:v>
                </c:pt>
                <c:pt idx="17">
                  <c:v>2874.0000000000018</c:v>
                </c:pt>
                <c:pt idx="18">
                  <c:v>4059.3333333333353</c:v>
                </c:pt>
                <c:pt idx="19">
                  <c:v>5440.1666666666688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D3-4B6A-ADAF-3F2A0CCB5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209728"/>
        <c:axId val="1274215968"/>
      </c:scatterChart>
      <c:scatterChart>
        <c:scatterStyle val="smoothMarker"/>
        <c:varyColors val="0"/>
        <c:ser>
          <c:idx val="0"/>
          <c:order val="0"/>
          <c:tx>
            <c:strRef>
              <c:f>BreakEven!$B$18</c:f>
              <c:strCache>
                <c:ptCount val="1"/>
                <c:pt idx="0">
                  <c:v>Jobs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BreakEven!$A$19:$A$38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BreakEven!$B$19:$B$38</c:f>
              <c:numCache>
                <c:formatCode>0</c:formatCode>
                <c:ptCount val="20"/>
                <c:pt idx="0">
                  <c:v>40</c:v>
                </c:pt>
                <c:pt idx="1">
                  <c:v>44</c:v>
                </c:pt>
                <c:pt idx="2">
                  <c:v>48</c:v>
                </c:pt>
                <c:pt idx="3">
                  <c:v>53</c:v>
                </c:pt>
                <c:pt idx="4">
                  <c:v>59</c:v>
                </c:pt>
                <c:pt idx="5">
                  <c:v>64</c:v>
                </c:pt>
                <c:pt idx="6">
                  <c:v>71</c:v>
                </c:pt>
                <c:pt idx="7">
                  <c:v>78</c:v>
                </c:pt>
                <c:pt idx="8">
                  <c:v>86</c:v>
                </c:pt>
                <c:pt idx="9">
                  <c:v>94</c:v>
                </c:pt>
                <c:pt idx="10">
                  <c:v>104</c:v>
                </c:pt>
                <c:pt idx="11">
                  <c:v>114</c:v>
                </c:pt>
                <c:pt idx="12">
                  <c:v>126</c:v>
                </c:pt>
                <c:pt idx="13">
                  <c:v>138</c:v>
                </c:pt>
                <c:pt idx="14">
                  <c:v>152</c:v>
                </c:pt>
                <c:pt idx="15">
                  <c:v>167</c:v>
                </c:pt>
                <c:pt idx="16">
                  <c:v>184</c:v>
                </c:pt>
                <c:pt idx="17">
                  <c:v>202</c:v>
                </c:pt>
                <c:pt idx="18">
                  <c:v>222</c:v>
                </c:pt>
                <c:pt idx="19">
                  <c:v>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D3-4B6A-ADAF-3F2A0CCB5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2079439"/>
        <c:axId val="1612059279"/>
      </c:scatterChart>
      <c:valAx>
        <c:axId val="127420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  <a:r>
                  <a:rPr lang="en-US" baseline="0"/>
                  <a:t> (since launch)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215968"/>
        <c:crosses val="autoZero"/>
        <c:crossBetween val="midCat"/>
      </c:valAx>
      <c:valAx>
        <c:axId val="127421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 - Monthly Profit &amp; Cumulative Profit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$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209728"/>
        <c:crosses val="autoZero"/>
        <c:crossBetween val="midCat"/>
      </c:valAx>
      <c:valAx>
        <c:axId val="1612059279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079439"/>
        <c:crosses val="max"/>
        <c:crossBetween val="midCat"/>
      </c:valAx>
      <c:valAx>
        <c:axId val="1612079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2059279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104776</xdr:colOff>
      <xdr:row>29</xdr:row>
      <xdr:rowOff>90486</xdr:rowOff>
    </xdr:from>
    <xdr:to>
      <xdr:col>14</xdr:col>
      <xdr:colOff>200026</xdr:colOff>
      <xdr:row>50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A18D34-E842-3B2A-3CDE-E804D0AA7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85724</xdr:colOff>
      <xdr:row>20</xdr:row>
      <xdr:rowOff>61912</xdr:rowOff>
    </xdr:from>
    <xdr:to>
      <xdr:col>9</xdr:col>
      <xdr:colOff>561974</xdr:colOff>
      <xdr:row>45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EC489B-9D38-8ADB-03C8-8E86F885E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A842E5-753C-4485-8CFD-0B57B6697FB1}" name="Table1" displayName="Table1" ref="M18:O29" totalsRowShown="0">
  <autoFilter ref="M18:O29" xr:uid="{A1A842E5-753C-4485-8CFD-0B57B6697FB1}"/>
  <tableColumns count="3">
    <tableColumn id="1" xr3:uid="{1B0A5C46-54E1-49A5-A0BE-15DEDD944D06}" name="Units (jobs)"/>
    <tableColumn id="2" xr3:uid="{75E348D2-C70B-4B86-804D-A15738D0336F}" name="Total Revenue"/>
    <tableColumn id="3" xr3:uid="{8A2DB07C-06FE-4271-B63F-14EC38FACB84}" name="Total Cos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zoomScaleNormal="100" workbookViewId="0">
      <selection activeCell="P46" sqref="P46"/>
    </sheetView>
  </sheetViews>
  <sheetFormatPr defaultRowHeight="15" x14ac:dyDescent="0.25"/>
  <cols>
    <col min="1" max="1" width="27.85546875" customWidth="1"/>
    <col min="2" max="2" width="9.140625" bestFit="1" customWidth="1"/>
    <col min="3" max="3" width="14.140625" bestFit="1" customWidth="1"/>
    <col min="4" max="4" width="25.140625" bestFit="1" customWidth="1"/>
    <col min="5" max="5" width="11.28515625" customWidth="1"/>
    <col min="6" max="6" width="30.42578125" bestFit="1" customWidth="1"/>
    <col min="7" max="7" width="25" bestFit="1" customWidth="1"/>
    <col min="8" max="10" width="18.7109375" customWidth="1"/>
    <col min="11" max="11" width="12" customWidth="1"/>
    <col min="12" max="12" width="30.5703125" bestFit="1" customWidth="1"/>
    <col min="13" max="13" width="7.5703125" bestFit="1" customWidth="1"/>
    <col min="14" max="14" width="22.7109375" customWidth="1"/>
  </cols>
  <sheetData>
    <row r="1" spans="1:13" x14ac:dyDescent="0.25">
      <c r="A1" s="11" t="s">
        <v>42</v>
      </c>
      <c r="B1" s="11"/>
      <c r="C1" s="11"/>
      <c r="D1" s="11"/>
    </row>
    <row r="3" spans="1:13" x14ac:dyDescent="0.25">
      <c r="A3" s="1" t="s">
        <v>43</v>
      </c>
      <c r="D3" s="1" t="s">
        <v>6</v>
      </c>
      <c r="G3" s="1" t="s">
        <v>15</v>
      </c>
      <c r="L3" s="1" t="s">
        <v>24</v>
      </c>
    </row>
    <row r="4" spans="1:13" x14ac:dyDescent="0.25">
      <c r="A4" t="s">
        <v>0</v>
      </c>
      <c r="B4" s="2">
        <v>20</v>
      </c>
      <c r="D4" s="3" t="s">
        <v>7</v>
      </c>
      <c r="E4" s="3" t="s">
        <v>8</v>
      </c>
      <c r="G4" s="3" t="s">
        <v>7</v>
      </c>
      <c r="H4" s="3" t="s">
        <v>16</v>
      </c>
      <c r="L4" t="s">
        <v>25</v>
      </c>
      <c r="M4" s="2">
        <f>($B$7/60)*$B$8</f>
        <v>9</v>
      </c>
    </row>
    <row r="5" spans="1:13" x14ac:dyDescent="0.25">
      <c r="A5" t="s">
        <v>1</v>
      </c>
      <c r="B5" s="4">
        <v>0.1</v>
      </c>
      <c r="D5" t="s">
        <v>9</v>
      </c>
      <c r="E5" s="2">
        <v>60</v>
      </c>
      <c r="G5" t="s">
        <v>17</v>
      </c>
      <c r="H5" s="2">
        <v>600</v>
      </c>
      <c r="L5" t="s">
        <v>26</v>
      </c>
      <c r="M5" s="2">
        <f>B9</f>
        <v>2.5</v>
      </c>
    </row>
    <row r="6" spans="1:13" x14ac:dyDescent="0.25">
      <c r="A6" t="s">
        <v>2</v>
      </c>
      <c r="B6" s="5">
        <v>40</v>
      </c>
      <c r="D6" t="s">
        <v>10</v>
      </c>
      <c r="E6" s="2">
        <v>180</v>
      </c>
      <c r="G6" t="s">
        <v>18</v>
      </c>
      <c r="H6" s="2">
        <v>900</v>
      </c>
      <c r="L6" s="3" t="s">
        <v>27</v>
      </c>
      <c r="M6" s="2">
        <f>M4+M5</f>
        <v>11.5</v>
      </c>
    </row>
    <row r="7" spans="1:13" x14ac:dyDescent="0.25">
      <c r="A7" t="s">
        <v>3</v>
      </c>
      <c r="B7" s="2">
        <v>18</v>
      </c>
      <c r="D7" t="s">
        <v>11</v>
      </c>
      <c r="E7" s="2">
        <v>120</v>
      </c>
      <c r="G7" t="s">
        <v>19</v>
      </c>
      <c r="H7" s="2">
        <v>500</v>
      </c>
      <c r="L7" t="s">
        <v>28</v>
      </c>
      <c r="M7" s="2">
        <f>B4-M6</f>
        <v>8.5</v>
      </c>
    </row>
    <row r="8" spans="1:13" x14ac:dyDescent="0.25">
      <c r="A8" t="s">
        <v>4</v>
      </c>
      <c r="B8" s="5">
        <v>30</v>
      </c>
      <c r="D8" t="s">
        <v>12</v>
      </c>
      <c r="E8" s="2">
        <v>150</v>
      </c>
      <c r="G8" t="s">
        <v>20</v>
      </c>
      <c r="H8" s="2">
        <v>200</v>
      </c>
      <c r="L8" s="3" t="s">
        <v>29</v>
      </c>
      <c r="M8" s="2">
        <f>E11+H12</f>
        <v>701.66666666666663</v>
      </c>
    </row>
    <row r="9" spans="1:13" x14ac:dyDescent="0.25">
      <c r="A9" t="s">
        <v>5</v>
      </c>
      <c r="B9" s="2">
        <v>2.5</v>
      </c>
      <c r="D9" t="s">
        <v>13</v>
      </c>
      <c r="E9" s="2">
        <v>100</v>
      </c>
    </row>
    <row r="10" spans="1:13" x14ac:dyDescent="0.25">
      <c r="G10" s="3" t="s">
        <v>21</v>
      </c>
      <c r="H10" s="2">
        <f>SUM(H5:H8)</f>
        <v>2200</v>
      </c>
    </row>
    <row r="11" spans="1:13" x14ac:dyDescent="0.25">
      <c r="D11" s="3" t="s">
        <v>14</v>
      </c>
      <c r="E11" s="2">
        <f>SUM(E5:E10)</f>
        <v>610</v>
      </c>
      <c r="G11" t="s">
        <v>22</v>
      </c>
      <c r="H11" s="5">
        <v>24</v>
      </c>
    </row>
    <row r="12" spans="1:13" x14ac:dyDescent="0.25">
      <c r="A12" s="1" t="s">
        <v>30</v>
      </c>
      <c r="G12" s="3" t="s">
        <v>23</v>
      </c>
      <c r="H12" s="2">
        <f>H10/H11</f>
        <v>91.666666666666671</v>
      </c>
    </row>
    <row r="13" spans="1:13" x14ac:dyDescent="0.25">
      <c r="A13" s="3" t="s">
        <v>31</v>
      </c>
      <c r="B13" s="5">
        <f>ROUNDUP(M8/M7,0)</f>
        <v>83</v>
      </c>
    </row>
    <row r="14" spans="1:13" x14ac:dyDescent="0.25">
      <c r="A14" t="s">
        <v>32</v>
      </c>
      <c r="B14" s="2">
        <f>B13*$B$4</f>
        <v>1660</v>
      </c>
    </row>
    <row r="15" spans="1:13" x14ac:dyDescent="0.25">
      <c r="A15" s="6"/>
      <c r="B15" s="6"/>
    </row>
    <row r="17" spans="1:15" x14ac:dyDescent="0.25">
      <c r="A17" s="1" t="s">
        <v>44</v>
      </c>
    </row>
    <row r="18" spans="1:15" x14ac:dyDescent="0.25">
      <c r="A18" s="3" t="s">
        <v>33</v>
      </c>
      <c r="B18" s="3" t="s">
        <v>34</v>
      </c>
      <c r="C18" s="3" t="s">
        <v>35</v>
      </c>
      <c r="D18" s="3" t="s">
        <v>36</v>
      </c>
      <c r="F18" s="1" t="s">
        <v>39</v>
      </c>
      <c r="M18" t="s">
        <v>45</v>
      </c>
      <c r="N18" t="s">
        <v>46</v>
      </c>
      <c r="O18" t="s">
        <v>47</v>
      </c>
    </row>
    <row r="19" spans="1:15" x14ac:dyDescent="0.25">
      <c r="A19">
        <v>1</v>
      </c>
      <c r="B19" s="5">
        <f>ROUND($B$6*(1+$B$5)^0,0)</f>
        <v>40</v>
      </c>
      <c r="C19" s="2">
        <f t="shared" ref="C19:C38" si="0">B19*$M$7-$M$8</f>
        <v>-361.66666666666663</v>
      </c>
      <c r="D19" s="2">
        <f>C19</f>
        <v>-361.66666666666663</v>
      </c>
      <c r="F19" t="s">
        <v>40</v>
      </c>
      <c r="G19" t="s">
        <v>37</v>
      </c>
      <c r="M19">
        <v>0</v>
      </c>
      <c r="N19">
        <f>B4*M19</f>
        <v>0</v>
      </c>
      <c r="O19">
        <f>M8+M6*M19</f>
        <v>701.66666666666663</v>
      </c>
    </row>
    <row r="20" spans="1:15" x14ac:dyDescent="0.25">
      <c r="A20">
        <v>2</v>
      </c>
      <c r="B20" s="5">
        <f>ROUND($B$6*(1+$B$5)^1,0)</f>
        <v>44</v>
      </c>
      <c r="C20" s="2">
        <f t="shared" si="0"/>
        <v>-327.66666666666663</v>
      </c>
      <c r="D20" s="2">
        <f t="shared" ref="D20:D38" si="1">D19+C20</f>
        <v>-689.33333333333326</v>
      </c>
      <c r="F20" t="s">
        <v>41</v>
      </c>
      <c r="G20" t="s">
        <v>38</v>
      </c>
      <c r="M20">
        <v>20</v>
      </c>
      <c r="N20">
        <f>B4*M20</f>
        <v>400</v>
      </c>
      <c r="O20">
        <f>M8+M6*M20</f>
        <v>931.66666666666663</v>
      </c>
    </row>
    <row r="21" spans="1:15" x14ac:dyDescent="0.25">
      <c r="A21">
        <v>3</v>
      </c>
      <c r="B21" s="5">
        <f>ROUND($B$6*(1+$B$5)^2,0)</f>
        <v>48</v>
      </c>
      <c r="C21" s="2">
        <f t="shared" si="0"/>
        <v>-293.66666666666663</v>
      </c>
      <c r="D21" s="2">
        <f t="shared" si="1"/>
        <v>-982.99999999999989</v>
      </c>
      <c r="M21">
        <v>40</v>
      </c>
      <c r="N21">
        <f>B4*M21</f>
        <v>800</v>
      </c>
      <c r="O21">
        <f>M8+M6*M21</f>
        <v>1161.6666666666665</v>
      </c>
    </row>
    <row r="22" spans="1:15" x14ac:dyDescent="0.25">
      <c r="A22">
        <v>4</v>
      </c>
      <c r="B22" s="5">
        <f>ROUND($B$6*(1+$B$5)^3,0)</f>
        <v>53</v>
      </c>
      <c r="C22" s="2">
        <f t="shared" si="0"/>
        <v>-251.16666666666663</v>
      </c>
      <c r="D22" s="2">
        <f t="shared" si="1"/>
        <v>-1234.1666666666665</v>
      </c>
      <c r="M22">
        <v>60</v>
      </c>
      <c r="N22">
        <f>B4*M22</f>
        <v>1200</v>
      </c>
      <c r="O22">
        <f>M8+M6*M22</f>
        <v>1391.6666666666665</v>
      </c>
    </row>
    <row r="23" spans="1:15" x14ac:dyDescent="0.25">
      <c r="A23">
        <v>5</v>
      </c>
      <c r="B23" s="5">
        <f>ROUND($B$6*(1+$B$5)^4,0)</f>
        <v>59</v>
      </c>
      <c r="C23" s="2">
        <f t="shared" si="0"/>
        <v>-200.16666666666663</v>
      </c>
      <c r="D23" s="2">
        <f t="shared" si="1"/>
        <v>-1434.333333333333</v>
      </c>
      <c r="M23">
        <v>80</v>
      </c>
      <c r="N23">
        <f>B4*M23</f>
        <v>1600</v>
      </c>
      <c r="O23">
        <f>M8+M6*M23</f>
        <v>1621.6666666666665</v>
      </c>
    </row>
    <row r="24" spans="1:15" x14ac:dyDescent="0.25">
      <c r="A24">
        <v>6</v>
      </c>
      <c r="B24" s="5">
        <f>ROUND($B$6*(1+$B$5)^5,0)</f>
        <v>64</v>
      </c>
      <c r="C24" s="2">
        <f t="shared" si="0"/>
        <v>-157.66666666666663</v>
      </c>
      <c r="D24" s="2">
        <f t="shared" si="1"/>
        <v>-1591.9999999999995</v>
      </c>
      <c r="M24">
        <v>100</v>
      </c>
      <c r="N24">
        <f>B4*M24</f>
        <v>2000</v>
      </c>
      <c r="O24">
        <f>M8+M6*M24</f>
        <v>1851.6666666666665</v>
      </c>
    </row>
    <row r="25" spans="1:15" x14ac:dyDescent="0.25">
      <c r="A25">
        <v>7</v>
      </c>
      <c r="B25" s="5">
        <f>ROUND($B$6*(1+$B$5)^6,0)</f>
        <v>71</v>
      </c>
      <c r="C25" s="2">
        <f t="shared" si="0"/>
        <v>-98.166666666666629</v>
      </c>
      <c r="D25" s="2">
        <f t="shared" si="1"/>
        <v>-1690.1666666666661</v>
      </c>
      <c r="M25">
        <v>120</v>
      </c>
      <c r="N25">
        <f>B4*M25</f>
        <v>2400</v>
      </c>
      <c r="O25">
        <f>M8+M6*M25</f>
        <v>2081.6666666666665</v>
      </c>
    </row>
    <row r="26" spans="1:15" x14ac:dyDescent="0.25">
      <c r="A26">
        <v>8</v>
      </c>
      <c r="B26" s="5">
        <f>ROUND($B$6*(1+$B$5)^7,0)</f>
        <v>78</v>
      </c>
      <c r="C26" s="2">
        <f t="shared" si="0"/>
        <v>-38.666666666666629</v>
      </c>
      <c r="D26" s="2">
        <f t="shared" si="1"/>
        <v>-1728.8333333333326</v>
      </c>
      <c r="M26">
        <v>140</v>
      </c>
      <c r="N26">
        <f>B4*M26</f>
        <v>2800</v>
      </c>
      <c r="O26">
        <f>M8+M6*M26</f>
        <v>2311.6666666666665</v>
      </c>
    </row>
    <row r="27" spans="1:15" x14ac:dyDescent="0.25">
      <c r="A27">
        <v>9</v>
      </c>
      <c r="B27" s="7">
        <f>ROUND($B$6*(1+$B$5)^8,0)</f>
        <v>86</v>
      </c>
      <c r="C27" s="8">
        <f t="shared" si="0"/>
        <v>29.333333333333371</v>
      </c>
      <c r="D27" s="8">
        <f t="shared" si="1"/>
        <v>-1699.4999999999991</v>
      </c>
      <c r="M27">
        <v>160</v>
      </c>
      <c r="N27">
        <f>B4*M27</f>
        <v>3200</v>
      </c>
      <c r="O27">
        <f>M8+M6*M27</f>
        <v>2541.6666666666665</v>
      </c>
    </row>
    <row r="28" spans="1:15" x14ac:dyDescent="0.25">
      <c r="A28">
        <v>10</v>
      </c>
      <c r="B28" s="5">
        <f>ROUND($B$6*(1+$B$5)^9,0)</f>
        <v>94</v>
      </c>
      <c r="C28" s="2">
        <f t="shared" si="0"/>
        <v>97.333333333333371</v>
      </c>
      <c r="D28" s="2">
        <f t="shared" si="1"/>
        <v>-1602.1666666666656</v>
      </c>
      <c r="M28">
        <v>180</v>
      </c>
      <c r="N28">
        <f>B4*M28</f>
        <v>3600</v>
      </c>
      <c r="O28">
        <f>M8+M6*M28</f>
        <v>2771.6666666666665</v>
      </c>
    </row>
    <row r="29" spans="1:15" x14ac:dyDescent="0.25">
      <c r="A29">
        <v>11</v>
      </c>
      <c r="B29" s="5">
        <f>ROUND($B$6*(1+$B$5)^10,0)</f>
        <v>104</v>
      </c>
      <c r="C29" s="2">
        <f t="shared" si="0"/>
        <v>182.33333333333337</v>
      </c>
      <c r="D29" s="2">
        <f t="shared" si="1"/>
        <v>-1419.8333333333321</v>
      </c>
      <c r="M29">
        <v>200</v>
      </c>
      <c r="N29">
        <f>B4*M29</f>
        <v>4000</v>
      </c>
      <c r="O29">
        <f>M8+M6*M29</f>
        <v>3001.6666666666665</v>
      </c>
    </row>
    <row r="30" spans="1:15" x14ac:dyDescent="0.25">
      <c r="A30">
        <v>12</v>
      </c>
      <c r="B30" s="5">
        <f>ROUND($B$6*(1+$B$5)^11,0)</f>
        <v>114</v>
      </c>
      <c r="C30" s="2">
        <f t="shared" si="0"/>
        <v>267.33333333333337</v>
      </c>
      <c r="D30" s="2">
        <f t="shared" si="1"/>
        <v>-1152.4999999999986</v>
      </c>
    </row>
    <row r="31" spans="1:15" x14ac:dyDescent="0.25">
      <c r="A31">
        <v>13</v>
      </c>
      <c r="B31" s="5">
        <f>ROUND($B$6*(1+$B$5)^12,0)</f>
        <v>126</v>
      </c>
      <c r="C31" s="2">
        <f t="shared" si="0"/>
        <v>369.33333333333337</v>
      </c>
      <c r="D31" s="2">
        <f t="shared" si="1"/>
        <v>-783.16666666666526</v>
      </c>
      <c r="N31" s="12"/>
    </row>
    <row r="32" spans="1:15" x14ac:dyDescent="0.25">
      <c r="A32">
        <v>14</v>
      </c>
      <c r="B32" s="5">
        <f>ROUND($B$6*(1+$B$5)^13,0)</f>
        <v>138</v>
      </c>
      <c r="C32" s="2">
        <f t="shared" si="0"/>
        <v>471.33333333333337</v>
      </c>
      <c r="D32" s="2">
        <f t="shared" si="1"/>
        <v>-311.83333333333189</v>
      </c>
      <c r="N32" s="2"/>
    </row>
    <row r="33" spans="1:4" x14ac:dyDescent="0.25">
      <c r="A33">
        <v>15</v>
      </c>
      <c r="B33" s="9">
        <f>ROUND($B$6*(1+$B$5)^14,0)</f>
        <v>152</v>
      </c>
      <c r="C33" s="10">
        <f t="shared" si="0"/>
        <v>590.33333333333337</v>
      </c>
      <c r="D33" s="10">
        <f t="shared" si="1"/>
        <v>278.50000000000148</v>
      </c>
    </row>
    <row r="34" spans="1:4" x14ac:dyDescent="0.25">
      <c r="A34">
        <v>16</v>
      </c>
      <c r="B34" s="5">
        <f>ROUND($B$6*(1+$B$5)^15,0)</f>
        <v>167</v>
      </c>
      <c r="C34" s="2">
        <f t="shared" si="0"/>
        <v>717.83333333333337</v>
      </c>
      <c r="D34" s="2">
        <f t="shared" si="1"/>
        <v>996.33333333333485</v>
      </c>
    </row>
    <row r="35" spans="1:4" x14ac:dyDescent="0.25">
      <c r="A35">
        <v>17</v>
      </c>
      <c r="B35" s="5">
        <f>ROUND($B$6*(1+$B$5)^16,0)</f>
        <v>184</v>
      </c>
      <c r="C35" s="2">
        <f t="shared" si="0"/>
        <v>862.33333333333337</v>
      </c>
      <c r="D35" s="2">
        <f t="shared" si="1"/>
        <v>1858.6666666666683</v>
      </c>
    </row>
    <row r="36" spans="1:4" x14ac:dyDescent="0.25">
      <c r="A36">
        <v>18</v>
      </c>
      <c r="B36" s="5">
        <f>ROUND($B$6*(1+$B$5)^17,0)</f>
        <v>202</v>
      </c>
      <c r="C36" s="2">
        <f t="shared" si="0"/>
        <v>1015.3333333333334</v>
      </c>
      <c r="D36" s="2">
        <f t="shared" si="1"/>
        <v>2874.0000000000018</v>
      </c>
    </row>
    <row r="37" spans="1:4" x14ac:dyDescent="0.25">
      <c r="A37">
        <v>19</v>
      </c>
      <c r="B37" s="5">
        <f>ROUND($B$6*(1+$B$5)^18,0)</f>
        <v>222</v>
      </c>
      <c r="C37" s="2">
        <f t="shared" si="0"/>
        <v>1185.3333333333335</v>
      </c>
      <c r="D37" s="2">
        <f t="shared" si="1"/>
        <v>4059.3333333333353</v>
      </c>
    </row>
    <row r="38" spans="1:4" x14ac:dyDescent="0.25">
      <c r="A38">
        <v>20</v>
      </c>
      <c r="B38" s="5">
        <f>ROUND($B$6*(1+$B$5)^19,0)</f>
        <v>245</v>
      </c>
      <c r="C38" s="2">
        <f t="shared" si="0"/>
        <v>1380.8333333333335</v>
      </c>
      <c r="D38" s="2">
        <f t="shared" si="1"/>
        <v>5440.1666666666688</v>
      </c>
    </row>
  </sheetData>
  <mergeCells count="1">
    <mergeCell ref="A1:D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BreakEven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Jasraj Johal</cp:lastModifiedBy>
  <dcterms:created xsi:type="dcterms:W3CDTF">2025-11-21T14:43:24Z</dcterms:created>
  <dcterms:modified xsi:type="dcterms:W3CDTF">2025-11-21T22:49:54Z</dcterms:modified>
</cp:coreProperties>
</file>