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ose\Downloads\"/>
    </mc:Choice>
  </mc:AlternateContent>
  <xr:revisionPtr revIDLastSave="0" documentId="8_{D04B7AF8-E307-4E12-9ED8-1CB9B9318C5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reakEv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E20" i="1"/>
  <c r="E22" i="1" s="1"/>
  <c r="B16" i="1"/>
  <c r="B27" i="1" s="1"/>
  <c r="M12" i="1"/>
  <c r="J12" i="1"/>
  <c r="J18" i="1" s="1"/>
  <c r="B25" i="1" s="1"/>
  <c r="B26" i="1" s="1"/>
  <c r="C60" i="1" l="1"/>
  <c r="C61" i="1"/>
  <c r="C37" i="1"/>
  <c r="C53" i="1"/>
  <c r="C55" i="1"/>
  <c r="C59" i="1"/>
  <c r="C54" i="1"/>
  <c r="C62" i="1"/>
  <c r="C42" i="1"/>
  <c r="C63" i="1"/>
  <c r="C47" i="1"/>
  <c r="C58" i="1"/>
  <c r="C52" i="1"/>
  <c r="C36" i="1"/>
  <c r="C32" i="1"/>
  <c r="D32" i="1" s="1"/>
  <c r="C43" i="1"/>
  <c r="C39" i="1"/>
  <c r="C56" i="1"/>
  <c r="C41" i="1"/>
  <c r="B28" i="1"/>
  <c r="C46" i="1"/>
  <c r="C48" i="1"/>
  <c r="C49" i="1"/>
  <c r="C50" i="1"/>
  <c r="C66" i="1"/>
  <c r="C38" i="1"/>
  <c r="C40" i="1"/>
  <c r="C57" i="1"/>
  <c r="C44" i="1"/>
  <c r="C45" i="1"/>
  <c r="C64" i="1"/>
  <c r="C33" i="1"/>
  <c r="C65" i="1"/>
  <c r="C34" i="1"/>
  <c r="C35" i="1"/>
  <c r="C51" i="1"/>
  <c r="C67" i="1"/>
  <c r="D33" i="1" l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</calcChain>
</file>

<file path=xl/sharedStrings.xml><?xml version="1.0" encoding="utf-8"?>
<sst xmlns="http://schemas.openxmlformats.org/spreadsheetml/2006/main" count="93" uniqueCount="88">
  <si>
    <t>Inputs</t>
  </si>
  <si>
    <t>Sales Price</t>
  </si>
  <si>
    <t>Monthly Growth Rate</t>
  </si>
  <si>
    <t>First Month Units</t>
  </si>
  <si>
    <t>Wage ($/hr)</t>
  </si>
  <si>
    <t>Hours per Kit</t>
  </si>
  <si>
    <t>Fixed Monthly Costs</t>
  </si>
  <si>
    <t>Item</t>
  </si>
  <si>
    <t>Monthly $</t>
  </si>
  <si>
    <t>Rent</t>
  </si>
  <si>
    <t>Salaries</t>
  </si>
  <si>
    <t>Electricity</t>
  </si>
  <si>
    <t>Social Media services</t>
  </si>
  <si>
    <t>Total Fixed Monthly</t>
  </si>
  <si>
    <t>Start-up Costs</t>
  </si>
  <si>
    <t>Price</t>
  </si>
  <si>
    <t>Fabrication Table</t>
  </si>
  <si>
    <t>Mig Welder</t>
  </si>
  <si>
    <t>Plasma Cutter</t>
  </si>
  <si>
    <t>Air Compressor</t>
  </si>
  <si>
    <t>Bench Grinder</t>
  </si>
  <si>
    <t>Angle Grinder</t>
  </si>
  <si>
    <t>Metal Saw</t>
  </si>
  <si>
    <t>Misc tools</t>
  </si>
  <si>
    <t>Total Start-up Cost</t>
  </si>
  <si>
    <t>Loan Period (months)</t>
  </si>
  <si>
    <t>Loan Payment (per month)</t>
  </si>
  <si>
    <t>Variable Costs (Materials)</t>
  </si>
  <si>
    <t>Covers Units</t>
  </si>
  <si>
    <t>Per Unit</t>
  </si>
  <si>
    <t>Steel</t>
  </si>
  <si>
    <t>Welding Wire</t>
  </si>
  <si>
    <t>AR/CO2 gas mix</t>
  </si>
  <si>
    <t>Paint</t>
  </si>
  <si>
    <t>Electricity (prod)</t>
  </si>
  <si>
    <t>Total Materials per Kit</t>
  </si>
  <si>
    <t>Labour per Kit</t>
  </si>
  <si>
    <t>Labour cost per kit</t>
  </si>
  <si>
    <t>Key Metrics</t>
  </si>
  <si>
    <t>Variable Cost per kit</t>
  </si>
  <si>
    <t>Contribution Margin per kit</t>
  </si>
  <si>
    <t>Final Monthly Cost (Fixed + Loan)</t>
  </si>
  <si>
    <t>Break-even Units (rounded up)</t>
  </si>
  <si>
    <t>Projection (36 months at 10% MoM growth)</t>
  </si>
  <si>
    <t>Month</t>
  </si>
  <si>
    <t>Units Sold</t>
  </si>
  <si>
    <t>Monthly Profit</t>
  </si>
  <si>
    <t>Cumulative Profit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</si>
  <si>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</si>
  <si>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</si>
  <si>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</si>
  <si>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</si>
  <si>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</si>
  <si>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</si>
  <si>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</si>
  <si>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</si>
  <si>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</si>
  <si>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</si>
  <si>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</si>
  <si>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</si>
  <si>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</si>
  <si>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</si>
  <si>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</si>
  <si>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</si>
  <si>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</si>
  <si>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</si>
  <si>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</si>
  <si>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</si>
  <si>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</si>
  <si>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</si>
  <si>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</si>
  <si>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</si>
  <si>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</si>
  <si>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</si>
  <si>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</si>
  <si>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</si>
  <si>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</si>
  <si>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</si>
  <si>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</si>
  <si>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</si>
  <si>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</si>
  <si>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</si>
  <si>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</si>
  <si>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</si>
  <si>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Milestones</t>
  </si>
  <si>
    <t>Month units &gt;= BE Units</t>
  </si>
  <si>
    <t>First month with cumulative profit &gt;= 0</t>
  </si>
  <si>
    <t>Safe Splitter - Break-Even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</si>
</sst>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7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9" fontId="0" fillId="0" borderId="0" xfId="0" applyNumberFormat="1"/>
    <xf numFmtId="1" fontId="0" fillId="0" borderId="0" xfId="0" applyNumberFormat="1"/>
    <xf numFmtId="0" fontId="1" fillId="0" borderId="0" xfId="0" applyFont="1"/>
    <xf numFmtId="167" fontId="0" fillId="0" borderId="0" xfId="0" applyNumberFormat="1"/>
    <xf numFmtId="0" fontId="1" fillId="3" borderId="0" xfId="0" applyFont="1" applyFill="1"/>
    <xf numFmtId="164" fontId="0" fillId="3" borderId="0" xfId="0" applyNumberFormat="1" applyFill="1"/>
    <xf numFmtId="0" fontId="0" fillId="3" borderId="0" xfId="0" applyFill="1"/>
    <xf numFmtId="1" fontId="0" fillId="3" borderId="0" xfId="0" applyNumberFormat="1" applyFill="1"/>
    <xf numFmtId="167" fontId="0" fillId="3" borderId="0" xfId="0" applyNumberFormat="1" applyFill="1"/>
    <xf numFmtId="0" fontId="0" fillId="4" borderId="0" xfId="0" applyFill="1"/>
    <xf numFmtId="1" fontId="0" fillId="4" borderId="0" xfId="0" applyNumberFormat="1" applyFill="1"/>
    <xf numFmtId="164" fontId="0" fillId="4" borderId="0" xfId="0" applyNumberFormat="1" applyFill="1"/>
    <xf numFmtId="167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topLeftCell="A8" workbookViewId="0">
      <selection activeCell="F40" sqref="F40"/>
    </sheetView>
  </sheetViews>
  <sheetFormatPr defaultRowHeight="15" x14ac:dyDescent="0.25"/>
  <cols>
    <col min="1" max="1" width="40.28515625" bestFit="1" customWidth="1"/>
    <col min="2" max="2" width="10" bestFit="1" customWidth="1"/>
    <col min="3" max="3" width="14.140625" bestFit="1" customWidth="1"/>
    <col min="4" max="4" width="25" bestFit="1" customWidth="1"/>
    <col min="5" max="5" width="9.140625" bestFit="1" customWidth="1"/>
    <col min="6" max="6" width="36" bestFit="1" customWidth="1"/>
    <col min="7" max="7" width="24.28515625" bestFit="1" customWidth="1"/>
    <col min="8" max="8" width="6.5703125" bestFit="1" customWidth="1"/>
    <col min="9" max="9" width="12.140625" bestFit="1" customWidth="1"/>
    <col min="10" max="10" width="8.28515625" bestFit="1" customWidth="1"/>
    <col min="12" max="12" width="17.42578125" bestFit="1" customWidth="1"/>
    <col min="13" max="13" width="6.5703125" bestFit="1" customWidth="1"/>
  </cols>
  <sheetData>
    <row r="1" spans="1:13" x14ac:dyDescent="0.25">
      <c r="A1" t="s">
        <v>87</v>
      </c>
    </row>
    <row r="3" spans="1:13" x14ac:dyDescent="0.25">
      <c r="A3" s="1" t="s">
        <v>0</v>
      </c>
    </row>
    <row r="4" spans="1:13" x14ac:dyDescent="0.25">
      <c r="A4" t="s">
        <v>1</v>
      </c>
      <c r="B4" s="2">
        <v>70</v>
      </c>
    </row>
    <row r="5" spans="1:13" x14ac:dyDescent="0.25">
      <c r="A5" t="s">
        <v>2</v>
      </c>
      <c r="B5" s="3">
        <v>0.1</v>
      </c>
    </row>
    <row r="6" spans="1:13" x14ac:dyDescent="0.25">
      <c r="A6" t="s">
        <v>3</v>
      </c>
      <c r="B6" s="4">
        <v>50</v>
      </c>
    </row>
    <row r="7" spans="1:13" x14ac:dyDescent="0.25">
      <c r="A7" t="s">
        <v>4</v>
      </c>
      <c r="B7" s="2">
        <v>22</v>
      </c>
    </row>
    <row r="8" spans="1:13" x14ac:dyDescent="0.25">
      <c r="A8" t="s">
        <v>5</v>
      </c>
      <c r="B8">
        <v>0.75</v>
      </c>
    </row>
    <row r="10" spans="1:13" x14ac:dyDescent="0.25">
      <c r="A10" s="1" t="s">
        <v>6</v>
      </c>
      <c r="D10" s="1" t="s">
        <v>14</v>
      </c>
      <c r="G10" s="1" t="s">
        <v>27</v>
      </c>
      <c r="L10" s="1" t="s">
        <v>36</v>
      </c>
    </row>
    <row r="11" spans="1:13" x14ac:dyDescent="0.25">
      <c r="A11" s="5" t="s">
        <v>7</v>
      </c>
      <c r="B11" s="5" t="s">
        <v>8</v>
      </c>
      <c r="D11" s="5" t="s">
        <v>7</v>
      </c>
      <c r="E11" s="5" t="s">
        <v>15</v>
      </c>
      <c r="G11" s="5" t="s">
        <v>7</v>
      </c>
      <c r="H11" s="5" t="s">
        <v>15</v>
      </c>
      <c r="I11" s="5" t="s">
        <v>28</v>
      </c>
      <c r="J11" s="5" t="s">
        <v>29</v>
      </c>
    </row>
    <row r="12" spans="1:13" x14ac:dyDescent="0.25">
      <c r="A12" t="s">
        <v>9</v>
      </c>
      <c r="B12" s="2">
        <v>1000</v>
      </c>
      <c r="D12" t="s">
        <v>16</v>
      </c>
      <c r="E12" s="2">
        <v>1100</v>
      </c>
      <c r="G12" t="s">
        <v>30</v>
      </c>
      <c r="H12" s="2">
        <v>25</v>
      </c>
      <c r="I12" s="4">
        <v>1</v>
      </c>
      <c r="J12" s="6">
        <f>H12/I12</f>
        <v>25</v>
      </c>
      <c r="L12" s="5" t="s">
        <v>37</v>
      </c>
      <c r="M12" s="2">
        <f>$B$7*$B$8</f>
        <v>16.5</v>
      </c>
    </row>
    <row r="13" spans="1:13" x14ac:dyDescent="0.25">
      <c r="A13" t="s">
        <v>10</v>
      </c>
      <c r="B13" s="2">
        <v>2400</v>
      </c>
      <c r="D13" t="s">
        <v>17</v>
      </c>
      <c r="E13" s="2">
        <v>725</v>
      </c>
      <c r="G13" t="s">
        <v>31</v>
      </c>
      <c r="H13" s="2">
        <v>44</v>
      </c>
      <c r="I13" s="4">
        <v>25</v>
      </c>
      <c r="J13" s="6">
        <f t="shared" ref="J13:J16" si="0">H13/I13</f>
        <v>1.76</v>
      </c>
    </row>
    <row r="14" spans="1:13" x14ac:dyDescent="0.25">
      <c r="A14" t="s">
        <v>11</v>
      </c>
      <c r="B14" s="2">
        <v>400</v>
      </c>
      <c r="D14" t="s">
        <v>18</v>
      </c>
      <c r="E14" s="2">
        <v>850</v>
      </c>
      <c r="G14" t="s">
        <v>32</v>
      </c>
      <c r="H14" s="2">
        <v>80</v>
      </c>
      <c r="I14" s="4">
        <v>60</v>
      </c>
      <c r="J14" s="6">
        <f t="shared" si="0"/>
        <v>1.3333333333333333</v>
      </c>
    </row>
    <row r="15" spans="1:13" x14ac:dyDescent="0.25">
      <c r="A15" t="s">
        <v>12</v>
      </c>
      <c r="B15" s="2">
        <v>400</v>
      </c>
      <c r="D15" t="s">
        <v>19</v>
      </c>
      <c r="E15" s="2">
        <v>900</v>
      </c>
      <c r="G15" t="s">
        <v>33</v>
      </c>
      <c r="H15" s="2">
        <v>20</v>
      </c>
      <c r="I15" s="4">
        <v>24</v>
      </c>
      <c r="J15" s="6">
        <f t="shared" si="0"/>
        <v>0.83333333333333337</v>
      </c>
    </row>
    <row r="16" spans="1:13" x14ac:dyDescent="0.25">
      <c r="A16" s="7" t="s">
        <v>13</v>
      </c>
      <c r="B16" s="8">
        <f>SUM(B12:B15)</f>
        <v>4200</v>
      </c>
      <c r="D16" t="s">
        <v>20</v>
      </c>
      <c r="E16" s="2">
        <v>125</v>
      </c>
      <c r="G16" t="s">
        <v>34</v>
      </c>
      <c r="H16" s="2">
        <v>3</v>
      </c>
      <c r="I16" s="4">
        <v>1</v>
      </c>
      <c r="J16" s="6">
        <f t="shared" si="0"/>
        <v>3</v>
      </c>
    </row>
    <row r="17" spans="1:10" x14ac:dyDescent="0.25">
      <c r="D17" t="s">
        <v>21</v>
      </c>
      <c r="E17" s="2">
        <v>50</v>
      </c>
    </row>
    <row r="18" spans="1:10" x14ac:dyDescent="0.25">
      <c r="D18" t="s">
        <v>22</v>
      </c>
      <c r="E18" s="2">
        <v>700</v>
      </c>
      <c r="G18" s="7" t="s">
        <v>35</v>
      </c>
      <c r="H18" s="9"/>
      <c r="I18" s="9"/>
      <c r="J18" s="8">
        <f>SUM(J12:J16)</f>
        <v>31.926666666666666</v>
      </c>
    </row>
    <row r="19" spans="1:10" x14ac:dyDescent="0.25">
      <c r="D19" t="s">
        <v>23</v>
      </c>
      <c r="E19" s="2">
        <v>1000</v>
      </c>
    </row>
    <row r="20" spans="1:10" x14ac:dyDescent="0.25">
      <c r="D20" s="7" t="s">
        <v>24</v>
      </c>
      <c r="E20" s="8">
        <f>SUM(E12:E19)</f>
        <v>5450</v>
      </c>
    </row>
    <row r="21" spans="1:10" x14ac:dyDescent="0.25">
      <c r="D21" s="9" t="s">
        <v>25</v>
      </c>
      <c r="E21" s="10">
        <v>24</v>
      </c>
    </row>
    <row r="22" spans="1:10" x14ac:dyDescent="0.25">
      <c r="D22" s="7" t="s">
        <v>26</v>
      </c>
      <c r="E22" s="8">
        <f>E20/E21</f>
        <v>227.08333333333334</v>
      </c>
    </row>
    <row r="24" spans="1:10" x14ac:dyDescent="0.25">
      <c r="A24" s="1" t="s">
        <v>38</v>
      </c>
    </row>
    <row r="25" spans="1:10" x14ac:dyDescent="0.25">
      <c r="A25" t="s">
        <v>39</v>
      </c>
      <c r="B25" s="2">
        <f>J18+$M$12</f>
        <v>48.426666666666662</v>
      </c>
    </row>
    <row r="26" spans="1:10" x14ac:dyDescent="0.25">
      <c r="A26" t="s">
        <v>40</v>
      </c>
      <c r="B26" s="2">
        <f>B4-B25</f>
        <v>21.573333333333338</v>
      </c>
    </row>
    <row r="27" spans="1:10" x14ac:dyDescent="0.25">
      <c r="A27" t="s">
        <v>41</v>
      </c>
      <c r="B27" s="2">
        <f>B16+$E$22</f>
        <v>4427.083333333333</v>
      </c>
    </row>
    <row r="28" spans="1:10" x14ac:dyDescent="0.25">
      <c r="A28" s="5" t="s">
        <v>42</v>
      </c>
      <c r="B28" s="4">
        <f>ROUNDUP(B27/B26,0)</f>
        <v>206</v>
      </c>
    </row>
    <row r="30" spans="1:10" x14ac:dyDescent="0.25">
      <c r="A30" s="1" t="s">
        <v>43</v>
      </c>
    </row>
    <row r="31" spans="1:10" x14ac:dyDescent="0.25">
      <c r="A31" s="5" t="s">
        <v>44</v>
      </c>
      <c r="B31" s="5" t="s">
        <v>45</v>
      </c>
      <c r="C31" s="5" t="s">
        <v>46</v>
      </c>
      <c r="D31" s="5" t="s">
        <v>47</v>
      </c>
      <c r="F31" s="1" t="s">
        <v>84</v>
      </c>
    </row>
    <row r="32" spans="1:10" x14ac:dyDescent="0.25">
      <c r="A32" t="s">
        <v>48</v>
      </c>
      <c r="B32" s="4">
        <f>ROUND($B$6*(1+$B$5)^0,0)</f>
        <v>50</v>
      </c>
      <c r="C32" s="2">
        <f t="shared" ref="C32:C67" si="1">B32*$B$26-$B$27</f>
        <v>-3348.4166666666661</v>
      </c>
      <c r="D32" s="6">
        <f>C32</f>
        <v>-3348.4166666666661</v>
      </c>
      <c r="F32" s="9" t="s">
        <v>85</v>
      </c>
      <c r="G32" s="9" t="s">
        <v>63</v>
      </c>
    </row>
    <row r="33" spans="1:7" x14ac:dyDescent="0.25">
      <c r="A33" t="s">
        <v>49</v>
      </c>
      <c r="B33" s="4">
        <f>ROUND($B$6*(1+$B$5)^1,0)</f>
        <v>55</v>
      </c>
      <c r="C33" s="2">
        <f t="shared" si="1"/>
        <v>-3240.5499999999993</v>
      </c>
      <c r="D33" s="6">
        <f t="shared" ref="D33:D67" si="2">D32+C33</f>
        <v>-6588.9666666666653</v>
      </c>
      <c r="F33" s="12" t="s">
        <v>86</v>
      </c>
      <c r="G33" s="12" t="s">
        <v>73</v>
      </c>
    </row>
    <row r="34" spans="1:7" x14ac:dyDescent="0.25">
      <c r="A34" t="s">
        <v>50</v>
      </c>
      <c r="B34" s="4">
        <f>ROUND($B$6*(1+$B$5)^2,0)</f>
        <v>61</v>
      </c>
      <c r="C34" s="2">
        <f t="shared" si="1"/>
        <v>-3111.1099999999997</v>
      </c>
      <c r="D34" s="6">
        <f t="shared" si="2"/>
        <v>-9700.0766666666641</v>
      </c>
    </row>
    <row r="35" spans="1:7" x14ac:dyDescent="0.25">
      <c r="A35" t="s">
        <v>51</v>
      </c>
      <c r="B35" s="4">
        <f>ROUND($B$6*(1+$B$5)^3,0)</f>
        <v>67</v>
      </c>
      <c r="C35" s="2">
        <f t="shared" si="1"/>
        <v>-2981.6699999999992</v>
      </c>
      <c r="D35" s="6">
        <f t="shared" si="2"/>
        <v>-12681.746666666662</v>
      </c>
    </row>
    <row r="36" spans="1:7" x14ac:dyDescent="0.25">
      <c r="A36" t="s">
        <v>52</v>
      </c>
      <c r="B36" s="4">
        <f>ROUND($B$6*(1+$B$5)^4,0)</f>
        <v>73</v>
      </c>
      <c r="C36" s="2">
        <f t="shared" si="1"/>
        <v>-2852.2299999999996</v>
      </c>
      <c r="D36" s="6">
        <f t="shared" si="2"/>
        <v>-15533.976666666662</v>
      </c>
    </row>
    <row r="37" spans="1:7" x14ac:dyDescent="0.25">
      <c r="A37" t="s">
        <v>53</v>
      </c>
      <c r="B37" s="4">
        <f>ROUND($B$6*(1+$B$5)^5,0)</f>
        <v>81</v>
      </c>
      <c r="C37" s="2">
        <f t="shared" si="1"/>
        <v>-2679.6433333333325</v>
      </c>
      <c r="D37" s="6">
        <f t="shared" si="2"/>
        <v>-18213.619999999995</v>
      </c>
    </row>
    <row r="38" spans="1:7" x14ac:dyDescent="0.25">
      <c r="A38" t="s">
        <v>54</v>
      </c>
      <c r="B38" s="4">
        <f>ROUND($B$6*(1+$B$5)^6,0)</f>
        <v>89</v>
      </c>
      <c r="C38" s="2">
        <f t="shared" si="1"/>
        <v>-2507.0566666666659</v>
      </c>
      <c r="D38" s="6">
        <f t="shared" si="2"/>
        <v>-20720.676666666663</v>
      </c>
    </row>
    <row r="39" spans="1:7" x14ac:dyDescent="0.25">
      <c r="A39" t="s">
        <v>55</v>
      </c>
      <c r="B39" s="4">
        <f>ROUND($B$6*(1+$B$5)^7,0)</f>
        <v>97</v>
      </c>
      <c r="C39" s="2">
        <f t="shared" si="1"/>
        <v>-2334.4699999999993</v>
      </c>
      <c r="D39" s="6">
        <f t="shared" si="2"/>
        <v>-23055.14666666666</v>
      </c>
    </row>
    <row r="40" spans="1:7" x14ac:dyDescent="0.25">
      <c r="A40" t="s">
        <v>56</v>
      </c>
      <c r="B40" s="4">
        <f>ROUND($B$6*(1+$B$5)^8,0)</f>
        <v>107</v>
      </c>
      <c r="C40" s="2">
        <f t="shared" si="1"/>
        <v>-2118.7366666666658</v>
      </c>
      <c r="D40" s="6">
        <f t="shared" si="2"/>
        <v>-25173.883333333324</v>
      </c>
    </row>
    <row r="41" spans="1:7" x14ac:dyDescent="0.25">
      <c r="A41" t="s">
        <v>57</v>
      </c>
      <c r="B41" s="4">
        <f>ROUND($B$6*(1+$B$5)^9,0)</f>
        <v>118</v>
      </c>
      <c r="C41" s="2">
        <f t="shared" si="1"/>
        <v>-1881.4299999999994</v>
      </c>
      <c r="D41" s="6">
        <f t="shared" si="2"/>
        <v>-27055.313333333324</v>
      </c>
    </row>
    <row r="42" spans="1:7" x14ac:dyDescent="0.25">
      <c r="A42" t="s">
        <v>58</v>
      </c>
      <c r="B42" s="4">
        <f>ROUND($B$6*(1+$B$5)^10,0)</f>
        <v>130</v>
      </c>
      <c r="C42" s="2">
        <f t="shared" si="1"/>
        <v>-1622.5499999999993</v>
      </c>
      <c r="D42" s="6">
        <f t="shared" si="2"/>
        <v>-28677.863333333324</v>
      </c>
    </row>
    <row r="43" spans="1:7" x14ac:dyDescent="0.25">
      <c r="A43" t="s">
        <v>59</v>
      </c>
      <c r="B43" s="4">
        <f>ROUND($B$6*(1+$B$5)^11,0)</f>
        <v>143</v>
      </c>
      <c r="C43" s="2">
        <f t="shared" si="1"/>
        <v>-1342.0966666666659</v>
      </c>
      <c r="D43" s="6">
        <f t="shared" si="2"/>
        <v>-30019.959999999988</v>
      </c>
    </row>
    <row r="44" spans="1:7" x14ac:dyDescent="0.25">
      <c r="A44" t="s">
        <v>60</v>
      </c>
      <c r="B44" s="4">
        <f>ROUND($B$6*(1+$B$5)^12,0)</f>
        <v>157</v>
      </c>
      <c r="C44" s="2">
        <f t="shared" si="1"/>
        <v>-1040.0699999999988</v>
      </c>
      <c r="D44" s="6">
        <f t="shared" si="2"/>
        <v>-31060.029999999988</v>
      </c>
    </row>
    <row r="45" spans="1:7" x14ac:dyDescent="0.25">
      <c r="A45" t="s">
        <v>61</v>
      </c>
      <c r="B45" s="4">
        <f>ROUND($B$6*(1+$B$5)^13,0)</f>
        <v>173</v>
      </c>
      <c r="C45" s="2">
        <f t="shared" si="1"/>
        <v>-694.89666666666562</v>
      </c>
      <c r="D45" s="6">
        <f t="shared" si="2"/>
        <v>-31754.926666666652</v>
      </c>
    </row>
    <row r="46" spans="1:7" x14ac:dyDescent="0.25">
      <c r="A46" t="s">
        <v>62</v>
      </c>
      <c r="B46" s="4">
        <f>ROUND($B$6*(1+$B$5)^14,0)</f>
        <v>190</v>
      </c>
      <c r="C46" s="2">
        <f t="shared" si="1"/>
        <v>-328.14999999999873</v>
      </c>
      <c r="D46" s="6">
        <f t="shared" si="2"/>
        <v>-32083.07666666665</v>
      </c>
    </row>
    <row r="47" spans="1:7" x14ac:dyDescent="0.25">
      <c r="A47" s="9" t="s">
        <v>63</v>
      </c>
      <c r="B47" s="10">
        <f>ROUND($B$6*(1+$B$5)^15,0)</f>
        <v>209</v>
      </c>
      <c r="C47" s="8">
        <f t="shared" si="1"/>
        <v>81.743333333334704</v>
      </c>
      <c r="D47" s="11">
        <f t="shared" si="2"/>
        <v>-32001.333333333314</v>
      </c>
    </row>
    <row r="48" spans="1:7" x14ac:dyDescent="0.25">
      <c r="A48" t="s">
        <v>64</v>
      </c>
      <c r="B48" s="4">
        <f>ROUND($B$6*(1+$B$5)^16,0)</f>
        <v>230</v>
      </c>
      <c r="C48" s="2">
        <f t="shared" si="1"/>
        <v>534.78333333333467</v>
      </c>
      <c r="D48" s="6">
        <f t="shared" si="2"/>
        <v>-31466.549999999981</v>
      </c>
    </row>
    <row r="49" spans="1:4" x14ac:dyDescent="0.25">
      <c r="A49" t="s">
        <v>65</v>
      </c>
      <c r="B49" s="4">
        <f>ROUND($B$6*(1+$B$5)^17,0)</f>
        <v>253</v>
      </c>
      <c r="C49" s="2">
        <f t="shared" si="1"/>
        <v>1030.9700000000012</v>
      </c>
      <c r="D49" s="6">
        <f t="shared" si="2"/>
        <v>-30435.57999999998</v>
      </c>
    </row>
    <row r="50" spans="1:4" x14ac:dyDescent="0.25">
      <c r="A50" t="s">
        <v>66</v>
      </c>
      <c r="B50" s="4">
        <f>ROUND($B$6*(1+$B$5)^18,0)</f>
        <v>278</v>
      </c>
      <c r="C50" s="2">
        <f t="shared" si="1"/>
        <v>1570.3033333333351</v>
      </c>
      <c r="D50" s="6">
        <f t="shared" si="2"/>
        <v>-28865.276666666643</v>
      </c>
    </row>
    <row r="51" spans="1:4" x14ac:dyDescent="0.25">
      <c r="A51" t="s">
        <v>67</v>
      </c>
      <c r="B51" s="4">
        <f>ROUND($B$6*(1+$B$5)^19,0)</f>
        <v>306</v>
      </c>
      <c r="C51" s="2">
        <f t="shared" si="1"/>
        <v>2174.3566666666684</v>
      </c>
      <c r="D51" s="6">
        <f t="shared" si="2"/>
        <v>-26690.919999999976</v>
      </c>
    </row>
    <row r="52" spans="1:4" x14ac:dyDescent="0.25">
      <c r="A52" t="s">
        <v>68</v>
      </c>
      <c r="B52" s="4">
        <f>ROUND($B$6*(1+$B$5)^20,0)</f>
        <v>336</v>
      </c>
      <c r="C52" s="2">
        <f t="shared" si="1"/>
        <v>2821.5566666666682</v>
      </c>
      <c r="D52" s="6">
        <f t="shared" si="2"/>
        <v>-23869.363333333309</v>
      </c>
    </row>
    <row r="53" spans="1:4" x14ac:dyDescent="0.25">
      <c r="A53" t="s">
        <v>69</v>
      </c>
      <c r="B53" s="4">
        <f>ROUND($B$6*(1+$B$5)^21,0)</f>
        <v>370</v>
      </c>
      <c r="C53" s="2">
        <f t="shared" si="1"/>
        <v>3555.050000000002</v>
      </c>
      <c r="D53" s="6">
        <f t="shared" si="2"/>
        <v>-20314.313333333306</v>
      </c>
    </row>
    <row r="54" spans="1:4" x14ac:dyDescent="0.25">
      <c r="A54" t="s">
        <v>70</v>
      </c>
      <c r="B54" s="4">
        <f>ROUND($B$6*(1+$B$5)^22,0)</f>
        <v>407</v>
      </c>
      <c r="C54" s="2">
        <f t="shared" si="1"/>
        <v>4353.2633333333351</v>
      </c>
      <c r="D54" s="6">
        <f t="shared" si="2"/>
        <v>-15961.04999999997</v>
      </c>
    </row>
    <row r="55" spans="1:4" x14ac:dyDescent="0.25">
      <c r="A55" t="s">
        <v>71</v>
      </c>
      <c r="B55" s="4">
        <f>ROUND($B$6*(1+$B$5)^23,0)</f>
        <v>448</v>
      </c>
      <c r="C55" s="2">
        <f t="shared" si="1"/>
        <v>5237.7700000000032</v>
      </c>
      <c r="D55" s="6">
        <f t="shared" si="2"/>
        <v>-10723.279999999966</v>
      </c>
    </row>
    <row r="56" spans="1:4" x14ac:dyDescent="0.25">
      <c r="A56" t="s">
        <v>72</v>
      </c>
      <c r="B56" s="4">
        <f>ROUND($B$6*(1+$B$5)^24,0)</f>
        <v>492</v>
      </c>
      <c r="C56" s="2">
        <f t="shared" si="1"/>
        <v>6186.9966666666687</v>
      </c>
      <c r="D56" s="6">
        <f t="shared" si="2"/>
        <v>-4536.2833333332974</v>
      </c>
    </row>
    <row r="57" spans="1:4" x14ac:dyDescent="0.25">
      <c r="A57" s="12" t="s">
        <v>73</v>
      </c>
      <c r="B57" s="13">
        <f>ROUND($B$6*(1+$B$5)^25,0)</f>
        <v>542</v>
      </c>
      <c r="C57" s="14">
        <f t="shared" si="1"/>
        <v>7265.6633333333366</v>
      </c>
      <c r="D57" s="15">
        <f t="shared" si="2"/>
        <v>2729.3800000000392</v>
      </c>
    </row>
    <row r="58" spans="1:4" x14ac:dyDescent="0.25">
      <c r="A58" t="s">
        <v>74</v>
      </c>
      <c r="B58" s="4">
        <f>ROUND($B$6*(1+$B$5)^26,0)</f>
        <v>596</v>
      </c>
      <c r="C58" s="2">
        <f t="shared" si="1"/>
        <v>8430.6233333333366</v>
      </c>
      <c r="D58" s="6">
        <f t="shared" si="2"/>
        <v>11160.003333333376</v>
      </c>
    </row>
    <row r="59" spans="1:4" x14ac:dyDescent="0.25">
      <c r="A59" t="s">
        <v>75</v>
      </c>
      <c r="B59" s="4">
        <f>ROUND($B$6*(1+$B$5)^27,0)</f>
        <v>655</v>
      </c>
      <c r="C59" s="2">
        <f t="shared" si="1"/>
        <v>9703.4500000000044</v>
      </c>
      <c r="D59" s="6">
        <f t="shared" si="2"/>
        <v>20863.453333333382</v>
      </c>
    </row>
    <row r="60" spans="1:4" x14ac:dyDescent="0.25">
      <c r="A60" t="s">
        <v>76</v>
      </c>
      <c r="B60" s="4">
        <f>ROUND($B$6*(1+$B$5)^28,0)</f>
        <v>721</v>
      </c>
      <c r="C60" s="2">
        <f t="shared" si="1"/>
        <v>11127.290000000005</v>
      </c>
      <c r="D60" s="6">
        <f t="shared" si="2"/>
        <v>31990.743333333387</v>
      </c>
    </row>
    <row r="61" spans="1:4" x14ac:dyDescent="0.25">
      <c r="A61" t="s">
        <v>77</v>
      </c>
      <c r="B61" s="4">
        <f>ROUND($B$6*(1+$B$5)^29,0)</f>
        <v>793</v>
      </c>
      <c r="C61" s="2">
        <f t="shared" si="1"/>
        <v>12680.570000000003</v>
      </c>
      <c r="D61" s="6">
        <f t="shared" si="2"/>
        <v>44671.31333333339</v>
      </c>
    </row>
    <row r="62" spans="1:4" x14ac:dyDescent="0.25">
      <c r="A62" t="s">
        <v>78</v>
      </c>
      <c r="B62" s="4">
        <f>ROUND($B$6*(1+$B$5)^30,0)</f>
        <v>872</v>
      </c>
      <c r="C62" s="2">
        <f t="shared" si="1"/>
        <v>14384.863333333338</v>
      </c>
      <c r="D62" s="6">
        <f t="shared" si="2"/>
        <v>59056.176666666724</v>
      </c>
    </row>
    <row r="63" spans="1:4" x14ac:dyDescent="0.25">
      <c r="A63" t="s">
        <v>79</v>
      </c>
      <c r="B63" s="4">
        <f>ROUND($B$6*(1+$B$5)^31,0)</f>
        <v>960</v>
      </c>
      <c r="C63" s="2">
        <f t="shared" si="1"/>
        <v>16283.316666666673</v>
      </c>
      <c r="D63" s="6">
        <f t="shared" si="2"/>
        <v>75339.493333333405</v>
      </c>
    </row>
    <row r="64" spans="1:4" x14ac:dyDescent="0.25">
      <c r="A64" t="s">
        <v>80</v>
      </c>
      <c r="B64" s="4">
        <f>ROUND($B$6*(1+$B$5)^32,0)</f>
        <v>1056</v>
      </c>
      <c r="C64" s="2">
        <f t="shared" si="1"/>
        <v>18354.356666666674</v>
      </c>
      <c r="D64" s="6">
        <f t="shared" si="2"/>
        <v>93693.850000000079</v>
      </c>
    </row>
    <row r="65" spans="1:4" x14ac:dyDescent="0.25">
      <c r="A65" t="s">
        <v>81</v>
      </c>
      <c r="B65" s="4">
        <f>ROUND($B$6*(1+$B$5)^33,0)</f>
        <v>1161</v>
      </c>
      <c r="C65" s="2">
        <f t="shared" si="1"/>
        <v>20619.556666666675</v>
      </c>
      <c r="D65" s="6">
        <f t="shared" si="2"/>
        <v>114313.40666666675</v>
      </c>
    </row>
    <row r="66" spans="1:4" x14ac:dyDescent="0.25">
      <c r="A66" t="s">
        <v>82</v>
      </c>
      <c r="B66" s="4">
        <f>ROUND($B$6*(1+$B$5)^34,0)</f>
        <v>1277</v>
      </c>
      <c r="C66" s="2">
        <f t="shared" si="1"/>
        <v>23122.063333333339</v>
      </c>
      <c r="D66" s="6">
        <f t="shared" si="2"/>
        <v>137435.47000000009</v>
      </c>
    </row>
    <row r="67" spans="1:4" x14ac:dyDescent="0.25">
      <c r="A67" t="s">
        <v>83</v>
      </c>
      <c r="B67" s="4">
        <f>ROUND($B$6*(1+$B$5)^35,0)</f>
        <v>1405</v>
      </c>
      <c r="C67" s="2">
        <f t="shared" si="1"/>
        <v>25883.450000000008</v>
      </c>
      <c r="D67" s="6">
        <f t="shared" si="2"/>
        <v>163318.9200000001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BreakEven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Johal, Jasraj</cp:lastModifiedBy>
  <dcterms:created xsi:type="dcterms:W3CDTF">2025-10-19T16:26:31Z</dcterms:created>
  <dcterms:modified xsi:type="dcterms:W3CDTF">2025-10-19T16:35:24Z</dcterms:modified>
</cp:coreProperties>
</file>